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08BFEFC9-40CB-45FC-B1CA-98C1E6540923}" xr6:coauthVersionLast="47" xr6:coauthVersionMax="47" xr10:uidLastSave="{00000000-0000-0000-0000-000000000000}"/>
  <bookViews>
    <workbookView xWindow="-120" yWindow="-120" windowWidth="29040" windowHeight="15720" tabRatio="774" firstSheet="1" activeTab="1" xr2:uid="{00000000-000D-0000-FFFF-FFFF00000000}"/>
  </bookViews>
  <sheets>
    <sheet name="Comece por aqui" sheetId="2" r:id="rId1"/>
    <sheet name="ORÇAMENTO DEZEMBRO 2024" sheetId="1" r:id="rId2"/>
    <sheet name="ORÇAMENTO JANEIRO 2025" sheetId="3" r:id="rId3"/>
    <sheet name="ORÇAMENTO FEVEREIRO 2025" sheetId="4" r:id="rId4"/>
    <sheet name="ORÇAMENTO MARÇO 2025" sheetId="5" r:id="rId5"/>
    <sheet name="ORÇAMENTO ABRIL 2025" sheetId="6" r:id="rId6"/>
    <sheet name="ORÇAMENTO MAIO 2025" sheetId="7" r:id="rId7"/>
    <sheet name="ORÇAMENTO JUNHO 2025" sheetId="8" r:id="rId8"/>
    <sheet name="ORÇAMENTO JULHO 2025" sheetId="9" r:id="rId9"/>
    <sheet name="ORÇAMENTO AGOSTO 2025" sheetId="10" r:id="rId10"/>
    <sheet name="ORÇAMENTO SETEMBRO 2025" sheetId="11" r:id="rId11"/>
    <sheet name="ORÇAMENTO OUTUBRO 2025" sheetId="12" r:id="rId12"/>
    <sheet name="ORÇAMENTO NOVEMBRO 2025" sheetId="13" r:id="rId13"/>
    <sheet name="ORÇAMENTO DEZEMBRO 2025" sheetId="14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4" l="1"/>
  <c r="D61" i="14"/>
  <c r="I60" i="14"/>
  <c r="D60" i="14"/>
  <c r="D59" i="14"/>
  <c r="I58" i="14"/>
  <c r="I62" i="14" s="1"/>
  <c r="D58" i="14"/>
  <c r="D57" i="14"/>
  <c r="D56" i="14"/>
  <c r="I55" i="14"/>
  <c r="I54" i="14"/>
  <c r="I53" i="14"/>
  <c r="I52" i="14"/>
  <c r="D52" i="14"/>
  <c r="D51" i="14"/>
  <c r="D50" i="14"/>
  <c r="D49" i="14"/>
  <c r="I48" i="14"/>
  <c r="D48" i="14"/>
  <c r="D53" i="14" s="1"/>
  <c r="I47" i="14"/>
  <c r="I46" i="14"/>
  <c r="D44" i="14"/>
  <c r="D43" i="14"/>
  <c r="I42" i="14"/>
  <c r="D42" i="14"/>
  <c r="I41" i="14"/>
  <c r="I40" i="14"/>
  <c r="D38" i="14"/>
  <c r="D37" i="14"/>
  <c r="I36" i="14"/>
  <c r="D36" i="14"/>
  <c r="I35" i="14"/>
  <c r="D35" i="14"/>
  <c r="I34" i="14"/>
  <c r="I33" i="14"/>
  <c r="D31" i="14"/>
  <c r="D30" i="14"/>
  <c r="I29" i="14"/>
  <c r="D29" i="14"/>
  <c r="I28" i="14"/>
  <c r="D28" i="14"/>
  <c r="I27" i="14"/>
  <c r="D27" i="14"/>
  <c r="I26" i="14"/>
  <c r="D26" i="14"/>
  <c r="I25" i="14"/>
  <c r="D25" i="14"/>
  <c r="I24" i="14"/>
  <c r="D21" i="14"/>
  <c r="I20" i="14"/>
  <c r="D20" i="14"/>
  <c r="I19" i="14"/>
  <c r="D19" i="14"/>
  <c r="I18" i="14"/>
  <c r="D18" i="14"/>
  <c r="I17" i="14"/>
  <c r="D17" i="14"/>
  <c r="I16" i="14"/>
  <c r="D16" i="14"/>
  <c r="I15" i="14"/>
  <c r="D15" i="14"/>
  <c r="I14" i="14"/>
  <c r="D14" i="14"/>
  <c r="I13" i="14"/>
  <c r="D13" i="14"/>
  <c r="I12" i="14"/>
  <c r="D12" i="14"/>
  <c r="D9" i="14"/>
  <c r="I5" i="14" s="1"/>
  <c r="D5" i="14"/>
  <c r="D62" i="13"/>
  <c r="D61" i="13"/>
  <c r="I60" i="13"/>
  <c r="I5" i="13" s="1"/>
  <c r="D60" i="13"/>
  <c r="D59" i="13"/>
  <c r="I58" i="13"/>
  <c r="D58" i="13"/>
  <c r="D57" i="13"/>
  <c r="D56" i="13"/>
  <c r="I55" i="13"/>
  <c r="I54" i="13"/>
  <c r="I53" i="13"/>
  <c r="I52" i="13"/>
  <c r="I56" i="13" s="1"/>
  <c r="D52" i="13"/>
  <c r="D51" i="13"/>
  <c r="D50" i="13"/>
  <c r="D49" i="13"/>
  <c r="I48" i="13"/>
  <c r="D48" i="13"/>
  <c r="I47" i="13"/>
  <c r="I46" i="13"/>
  <c r="D44" i="13"/>
  <c r="D43" i="13"/>
  <c r="I42" i="13"/>
  <c r="D42" i="13"/>
  <c r="D45" i="13" s="1"/>
  <c r="I41" i="13"/>
  <c r="I40" i="13"/>
  <c r="D38" i="13"/>
  <c r="D37" i="13"/>
  <c r="I36" i="13"/>
  <c r="D36" i="13"/>
  <c r="I35" i="13"/>
  <c r="D35" i="13"/>
  <c r="I34" i="13"/>
  <c r="I33" i="13"/>
  <c r="D31" i="13"/>
  <c r="D30" i="13"/>
  <c r="I29" i="13"/>
  <c r="D29" i="13"/>
  <c r="I28" i="13"/>
  <c r="D28" i="13"/>
  <c r="I27" i="13"/>
  <c r="D27" i="13"/>
  <c r="I26" i="13"/>
  <c r="D26" i="13"/>
  <c r="I25" i="13"/>
  <c r="D25" i="13"/>
  <c r="I24" i="13"/>
  <c r="D21" i="13"/>
  <c r="I20" i="13"/>
  <c r="D20" i="13"/>
  <c r="I19" i="13"/>
  <c r="D19" i="13"/>
  <c r="I18" i="13"/>
  <c r="D18" i="13"/>
  <c r="I17" i="13"/>
  <c r="D17" i="13"/>
  <c r="I16" i="13"/>
  <c r="D16" i="13"/>
  <c r="I15" i="13"/>
  <c r="D15" i="13"/>
  <c r="I14" i="13"/>
  <c r="D14" i="13"/>
  <c r="I13" i="13"/>
  <c r="D13" i="13"/>
  <c r="I12" i="13"/>
  <c r="D12" i="13"/>
  <c r="D9" i="13"/>
  <c r="D5" i="13"/>
  <c r="I3" i="13"/>
  <c r="D62" i="12"/>
  <c r="D61" i="12"/>
  <c r="I60" i="12"/>
  <c r="D60" i="12"/>
  <c r="D59" i="12"/>
  <c r="I58" i="12"/>
  <c r="D58" i="12"/>
  <c r="D57" i="12"/>
  <c r="D56" i="12"/>
  <c r="I55" i="12"/>
  <c r="I54" i="12"/>
  <c r="I53" i="12"/>
  <c r="I52" i="12"/>
  <c r="D52" i="12"/>
  <c r="D51" i="12"/>
  <c r="D50" i="12"/>
  <c r="D49" i="12"/>
  <c r="I48" i="12"/>
  <c r="D48" i="12"/>
  <c r="I47" i="12"/>
  <c r="I46" i="12"/>
  <c r="D44" i="12"/>
  <c r="D43" i="12"/>
  <c r="I42" i="12"/>
  <c r="D42" i="12"/>
  <c r="I41" i="12"/>
  <c r="I40" i="12"/>
  <c r="I43" i="12" s="1"/>
  <c r="D38" i="12"/>
  <c r="D37" i="12"/>
  <c r="I36" i="12"/>
  <c r="D36" i="12"/>
  <c r="I35" i="12"/>
  <c r="D35" i="12"/>
  <c r="I34" i="12"/>
  <c r="I33" i="12"/>
  <c r="D31" i="12"/>
  <c r="D30" i="12"/>
  <c r="I29" i="12"/>
  <c r="D29" i="12"/>
  <c r="I28" i="12"/>
  <c r="D28" i="12"/>
  <c r="I27" i="12"/>
  <c r="D27" i="12"/>
  <c r="I26" i="12"/>
  <c r="D26" i="12"/>
  <c r="I25" i="12"/>
  <c r="D25" i="12"/>
  <c r="I24" i="12"/>
  <c r="D21" i="12"/>
  <c r="I20" i="12"/>
  <c r="D20" i="12"/>
  <c r="I19" i="12"/>
  <c r="D19" i="12"/>
  <c r="I18" i="12"/>
  <c r="D18" i="12"/>
  <c r="I17" i="12"/>
  <c r="D17" i="12"/>
  <c r="I16" i="12"/>
  <c r="D16" i="12"/>
  <c r="I15" i="12"/>
  <c r="D15" i="12"/>
  <c r="I14" i="12"/>
  <c r="D14" i="12"/>
  <c r="I13" i="12"/>
  <c r="D13" i="12"/>
  <c r="I12" i="12"/>
  <c r="D12" i="12"/>
  <c r="D9" i="12"/>
  <c r="D5" i="12"/>
  <c r="D62" i="11"/>
  <c r="D61" i="11"/>
  <c r="I60" i="11"/>
  <c r="D60" i="11"/>
  <c r="D59" i="11"/>
  <c r="I58" i="11"/>
  <c r="I62" i="11" s="1"/>
  <c r="D58" i="11"/>
  <c r="D57" i="11"/>
  <c r="D56" i="11"/>
  <c r="I55" i="11"/>
  <c r="I54" i="11"/>
  <c r="I53" i="11"/>
  <c r="I52" i="11"/>
  <c r="D52" i="11"/>
  <c r="D51" i="11"/>
  <c r="D50" i="11"/>
  <c r="D49" i="11"/>
  <c r="I48" i="11"/>
  <c r="D48" i="11"/>
  <c r="D53" i="11" s="1"/>
  <c r="I47" i="11"/>
  <c r="I46" i="11"/>
  <c r="D44" i="11"/>
  <c r="D43" i="11"/>
  <c r="I42" i="11"/>
  <c r="D42" i="11"/>
  <c r="I41" i="11"/>
  <c r="I40" i="11"/>
  <c r="D38" i="11"/>
  <c r="D37" i="11"/>
  <c r="I36" i="11"/>
  <c r="D36" i="11"/>
  <c r="I35" i="11"/>
  <c r="D35" i="11"/>
  <c r="I34" i="11"/>
  <c r="I33" i="11"/>
  <c r="D31" i="11"/>
  <c r="D30" i="11"/>
  <c r="I29" i="11"/>
  <c r="D29" i="11"/>
  <c r="I28" i="11"/>
  <c r="D28" i="11"/>
  <c r="I27" i="11"/>
  <c r="D27" i="11"/>
  <c r="I26" i="11"/>
  <c r="D26" i="11"/>
  <c r="I25" i="11"/>
  <c r="D25" i="11"/>
  <c r="I24" i="11"/>
  <c r="D21" i="11"/>
  <c r="I20" i="11"/>
  <c r="D20" i="11"/>
  <c r="I19" i="11"/>
  <c r="D19" i="11"/>
  <c r="I18" i="11"/>
  <c r="D18" i="11"/>
  <c r="I17" i="11"/>
  <c r="D17" i="11"/>
  <c r="I16" i="11"/>
  <c r="D16" i="11"/>
  <c r="I15" i="11"/>
  <c r="D15" i="11"/>
  <c r="I14" i="11"/>
  <c r="D14" i="11"/>
  <c r="I13" i="11"/>
  <c r="D13" i="11"/>
  <c r="I12" i="11"/>
  <c r="I21" i="11" s="1"/>
  <c r="D12" i="11"/>
  <c r="D9" i="11"/>
  <c r="I5" i="11" s="1"/>
  <c r="D5" i="11"/>
  <c r="D62" i="10"/>
  <c r="D61" i="10"/>
  <c r="I60" i="10"/>
  <c r="D60" i="10"/>
  <c r="D59" i="10"/>
  <c r="I58" i="10"/>
  <c r="D58" i="10"/>
  <c r="D57" i="10"/>
  <c r="D56" i="10"/>
  <c r="D63" i="10" s="1"/>
  <c r="I55" i="10"/>
  <c r="I54" i="10"/>
  <c r="I56" i="10" s="1"/>
  <c r="I53" i="10"/>
  <c r="I52" i="10"/>
  <c r="D52" i="10"/>
  <c r="D51" i="10"/>
  <c r="D50" i="10"/>
  <c r="D49" i="10"/>
  <c r="I48" i="10"/>
  <c r="D48" i="10"/>
  <c r="I47" i="10"/>
  <c r="I46" i="10"/>
  <c r="I49" i="10" s="1"/>
  <c r="D44" i="10"/>
  <c r="D43" i="10"/>
  <c r="I42" i="10"/>
  <c r="D42" i="10"/>
  <c r="I41" i="10"/>
  <c r="I40" i="10"/>
  <c r="D38" i="10"/>
  <c r="D37" i="10"/>
  <c r="I36" i="10"/>
  <c r="D36" i="10"/>
  <c r="I35" i="10"/>
  <c r="D35" i="10"/>
  <c r="D39" i="10" s="1"/>
  <c r="I34" i="10"/>
  <c r="I33" i="10"/>
  <c r="D31" i="10"/>
  <c r="D30" i="10"/>
  <c r="I29" i="10"/>
  <c r="D29" i="10"/>
  <c r="I28" i="10"/>
  <c r="D28" i="10"/>
  <c r="I27" i="10"/>
  <c r="D27" i="10"/>
  <c r="I26" i="10"/>
  <c r="D26" i="10"/>
  <c r="I25" i="10"/>
  <c r="D25" i="10"/>
  <c r="I24" i="10"/>
  <c r="D21" i="10"/>
  <c r="I20" i="10"/>
  <c r="D20" i="10"/>
  <c r="I19" i="10"/>
  <c r="D19" i="10"/>
  <c r="I18" i="10"/>
  <c r="D18" i="10"/>
  <c r="I17" i="10"/>
  <c r="D17" i="10"/>
  <c r="I16" i="10"/>
  <c r="D16" i="10"/>
  <c r="I15" i="10"/>
  <c r="D15" i="10"/>
  <c r="I14" i="10"/>
  <c r="D14" i="10"/>
  <c r="I13" i="10"/>
  <c r="D13" i="10"/>
  <c r="I12" i="10"/>
  <c r="D12" i="10"/>
  <c r="D9" i="10"/>
  <c r="I5" i="10" s="1"/>
  <c r="D5" i="10"/>
  <c r="I3" i="10" s="1"/>
  <c r="D62" i="9"/>
  <c r="D61" i="9"/>
  <c r="I60" i="9"/>
  <c r="D60" i="9"/>
  <c r="D59" i="9"/>
  <c r="I58" i="9"/>
  <c r="D58" i="9"/>
  <c r="D57" i="9"/>
  <c r="D56" i="9"/>
  <c r="I55" i="9"/>
  <c r="I54" i="9"/>
  <c r="I53" i="9"/>
  <c r="I52" i="9"/>
  <c r="I56" i="9" s="1"/>
  <c r="D52" i="9"/>
  <c r="D51" i="9"/>
  <c r="D50" i="9"/>
  <c r="D49" i="9"/>
  <c r="I48" i="9"/>
  <c r="D48" i="9"/>
  <c r="I47" i="9"/>
  <c r="I46" i="9"/>
  <c r="D44" i="9"/>
  <c r="D43" i="9"/>
  <c r="I42" i="9"/>
  <c r="I43" i="9" s="1"/>
  <c r="D42" i="9"/>
  <c r="I41" i="9"/>
  <c r="I40" i="9"/>
  <c r="D38" i="9"/>
  <c r="D37" i="9"/>
  <c r="I36" i="9"/>
  <c r="D36" i="9"/>
  <c r="I35" i="9"/>
  <c r="D35" i="9"/>
  <c r="I34" i="9"/>
  <c r="I33" i="9"/>
  <c r="D31" i="9"/>
  <c r="D30" i="9"/>
  <c r="I29" i="9"/>
  <c r="D29" i="9"/>
  <c r="I28" i="9"/>
  <c r="D28" i="9"/>
  <c r="I27" i="9"/>
  <c r="D27" i="9"/>
  <c r="I26" i="9"/>
  <c r="D26" i="9"/>
  <c r="I25" i="9"/>
  <c r="D25" i="9"/>
  <c r="I24" i="9"/>
  <c r="I30" i="9" s="1"/>
  <c r="D21" i="9"/>
  <c r="I20" i="9"/>
  <c r="D20" i="9"/>
  <c r="I19" i="9"/>
  <c r="D19" i="9"/>
  <c r="I18" i="9"/>
  <c r="D18" i="9"/>
  <c r="I17" i="9"/>
  <c r="D17" i="9"/>
  <c r="I16" i="9"/>
  <c r="D16" i="9"/>
  <c r="I15" i="9"/>
  <c r="D15" i="9"/>
  <c r="I14" i="9"/>
  <c r="D14" i="9"/>
  <c r="I13" i="9"/>
  <c r="D13" i="9"/>
  <c r="I12" i="9"/>
  <c r="D12" i="9"/>
  <c r="D9" i="9"/>
  <c r="D5" i="9"/>
  <c r="D62" i="8"/>
  <c r="D61" i="8"/>
  <c r="I60" i="8"/>
  <c r="I5" i="8" s="1"/>
  <c r="D60" i="8"/>
  <c r="D59" i="8"/>
  <c r="I58" i="8"/>
  <c r="D58" i="8"/>
  <c r="D57" i="8"/>
  <c r="D56" i="8"/>
  <c r="I55" i="8"/>
  <c r="I54" i="8"/>
  <c r="I53" i="8"/>
  <c r="I52" i="8"/>
  <c r="I56" i="8" s="1"/>
  <c r="D52" i="8"/>
  <c r="D51" i="8"/>
  <c r="D50" i="8"/>
  <c r="D49" i="8"/>
  <c r="I48" i="8"/>
  <c r="D48" i="8"/>
  <c r="I47" i="8"/>
  <c r="I46" i="8"/>
  <c r="D44" i="8"/>
  <c r="D43" i="8"/>
  <c r="I42" i="8"/>
  <c r="D42" i="8"/>
  <c r="I41" i="8"/>
  <c r="I40" i="8"/>
  <c r="I43" i="8" s="1"/>
  <c r="D38" i="8"/>
  <c r="D37" i="8"/>
  <c r="I36" i="8"/>
  <c r="D36" i="8"/>
  <c r="I35" i="8"/>
  <c r="D35" i="8"/>
  <c r="I34" i="8"/>
  <c r="I33" i="8"/>
  <c r="D31" i="8"/>
  <c r="D30" i="8"/>
  <c r="I29" i="8"/>
  <c r="D29" i="8"/>
  <c r="I28" i="8"/>
  <c r="D28" i="8"/>
  <c r="I27" i="8"/>
  <c r="D27" i="8"/>
  <c r="I26" i="8"/>
  <c r="D26" i="8"/>
  <c r="I25" i="8"/>
  <c r="D25" i="8"/>
  <c r="I24" i="8"/>
  <c r="D21" i="8"/>
  <c r="I20" i="8"/>
  <c r="D20" i="8"/>
  <c r="I19" i="8"/>
  <c r="D19" i="8"/>
  <c r="I18" i="8"/>
  <c r="D18" i="8"/>
  <c r="I17" i="8"/>
  <c r="D17" i="8"/>
  <c r="I16" i="8"/>
  <c r="D16" i="8"/>
  <c r="I15" i="8"/>
  <c r="D15" i="8"/>
  <c r="I14" i="8"/>
  <c r="D14" i="8"/>
  <c r="I13" i="8"/>
  <c r="D13" i="8"/>
  <c r="I12" i="8"/>
  <c r="D12" i="8"/>
  <c r="D9" i="8"/>
  <c r="D5" i="8"/>
  <c r="D62" i="7"/>
  <c r="D61" i="7"/>
  <c r="I60" i="7"/>
  <c r="D60" i="7"/>
  <c r="D59" i="7"/>
  <c r="I58" i="7"/>
  <c r="I62" i="7" s="1"/>
  <c r="D58" i="7"/>
  <c r="D57" i="7"/>
  <c r="D56" i="7"/>
  <c r="I55" i="7"/>
  <c r="I54" i="7"/>
  <c r="I53" i="7"/>
  <c r="I52" i="7"/>
  <c r="I56" i="7" s="1"/>
  <c r="D52" i="7"/>
  <c r="D51" i="7"/>
  <c r="D50" i="7"/>
  <c r="D49" i="7"/>
  <c r="I48" i="7"/>
  <c r="I49" i="7" s="1"/>
  <c r="D48" i="7"/>
  <c r="D53" i="7" s="1"/>
  <c r="I47" i="7"/>
  <c r="I46" i="7"/>
  <c r="D44" i="7"/>
  <c r="D43" i="7"/>
  <c r="I42" i="7"/>
  <c r="D42" i="7"/>
  <c r="D45" i="7" s="1"/>
  <c r="I41" i="7"/>
  <c r="I40" i="7"/>
  <c r="D38" i="7"/>
  <c r="D37" i="7"/>
  <c r="I36" i="7"/>
  <c r="D36" i="7"/>
  <c r="I35" i="7"/>
  <c r="D35" i="7"/>
  <c r="I34" i="7"/>
  <c r="I33" i="7"/>
  <c r="D31" i="7"/>
  <c r="D30" i="7"/>
  <c r="I29" i="7"/>
  <c r="D29" i="7"/>
  <c r="I28" i="7"/>
  <c r="D28" i="7"/>
  <c r="I27" i="7"/>
  <c r="D27" i="7"/>
  <c r="I26" i="7"/>
  <c r="D26" i="7"/>
  <c r="I25" i="7"/>
  <c r="D25" i="7"/>
  <c r="I24" i="7"/>
  <c r="D21" i="7"/>
  <c r="I20" i="7"/>
  <c r="D20" i="7"/>
  <c r="I19" i="7"/>
  <c r="D19" i="7"/>
  <c r="I18" i="7"/>
  <c r="D18" i="7"/>
  <c r="I17" i="7"/>
  <c r="D17" i="7"/>
  <c r="I16" i="7"/>
  <c r="D16" i="7"/>
  <c r="I15" i="7"/>
  <c r="D15" i="7"/>
  <c r="I14" i="7"/>
  <c r="D14" i="7"/>
  <c r="I13" i="7"/>
  <c r="D13" i="7"/>
  <c r="I12" i="7"/>
  <c r="I21" i="7" s="1"/>
  <c r="D12" i="7"/>
  <c r="D9" i="7"/>
  <c r="D5" i="7"/>
  <c r="D62" i="6"/>
  <c r="D61" i="6"/>
  <c r="I60" i="6"/>
  <c r="D60" i="6"/>
  <c r="D59" i="6"/>
  <c r="I58" i="6"/>
  <c r="I62" i="6" s="1"/>
  <c r="D58" i="6"/>
  <c r="D57" i="6"/>
  <c r="D56" i="6"/>
  <c r="I55" i="6"/>
  <c r="I56" i="6" s="1"/>
  <c r="I54" i="6"/>
  <c r="I53" i="6"/>
  <c r="I52" i="6"/>
  <c r="D52" i="6"/>
  <c r="D51" i="6"/>
  <c r="D50" i="6"/>
  <c r="D49" i="6"/>
  <c r="I48" i="6"/>
  <c r="D48" i="6"/>
  <c r="I47" i="6"/>
  <c r="I46" i="6"/>
  <c r="I49" i="6" s="1"/>
  <c r="D44" i="6"/>
  <c r="D43" i="6"/>
  <c r="I42" i="6"/>
  <c r="D42" i="6"/>
  <c r="I41" i="6"/>
  <c r="I40" i="6"/>
  <c r="I43" i="6" s="1"/>
  <c r="D38" i="6"/>
  <c r="D37" i="6"/>
  <c r="I36" i="6"/>
  <c r="D36" i="6"/>
  <c r="I35" i="6"/>
  <c r="D35" i="6"/>
  <c r="I34" i="6"/>
  <c r="I33" i="6"/>
  <c r="D31" i="6"/>
  <c r="D30" i="6"/>
  <c r="I29" i="6"/>
  <c r="D29" i="6"/>
  <c r="I28" i="6"/>
  <c r="D28" i="6"/>
  <c r="I27" i="6"/>
  <c r="D27" i="6"/>
  <c r="I26" i="6"/>
  <c r="D26" i="6"/>
  <c r="I25" i="6"/>
  <c r="D25" i="6"/>
  <c r="I24" i="6"/>
  <c r="D21" i="6"/>
  <c r="I20" i="6"/>
  <c r="D20" i="6"/>
  <c r="I19" i="6"/>
  <c r="D19" i="6"/>
  <c r="I18" i="6"/>
  <c r="D18" i="6"/>
  <c r="I17" i="6"/>
  <c r="D17" i="6"/>
  <c r="I16" i="6"/>
  <c r="D16" i="6"/>
  <c r="I15" i="6"/>
  <c r="D15" i="6"/>
  <c r="I14" i="6"/>
  <c r="D14" i="6"/>
  <c r="I13" i="6"/>
  <c r="D13" i="6"/>
  <c r="I12" i="6"/>
  <c r="D12" i="6"/>
  <c r="D9" i="6"/>
  <c r="D5" i="6"/>
  <c r="I3" i="6" s="1"/>
  <c r="D62" i="5"/>
  <c r="D61" i="5"/>
  <c r="I60" i="5"/>
  <c r="D60" i="5"/>
  <c r="D59" i="5"/>
  <c r="I58" i="5"/>
  <c r="I62" i="5" s="1"/>
  <c r="D58" i="5"/>
  <c r="D57" i="5"/>
  <c r="D56" i="5"/>
  <c r="I55" i="5"/>
  <c r="I54" i="5"/>
  <c r="I53" i="5"/>
  <c r="I52" i="5"/>
  <c r="D52" i="5"/>
  <c r="D51" i="5"/>
  <c r="D50" i="5"/>
  <c r="D49" i="5"/>
  <c r="I48" i="5"/>
  <c r="D48" i="5"/>
  <c r="I47" i="5"/>
  <c r="I46" i="5"/>
  <c r="D44" i="5"/>
  <c r="D43" i="5"/>
  <c r="I42" i="5"/>
  <c r="D42" i="5"/>
  <c r="I41" i="5"/>
  <c r="I40" i="5"/>
  <c r="D38" i="5"/>
  <c r="D37" i="5"/>
  <c r="I36" i="5"/>
  <c r="D36" i="5"/>
  <c r="I35" i="5"/>
  <c r="D35" i="5"/>
  <c r="D39" i="5" s="1"/>
  <c r="I34" i="5"/>
  <c r="I33" i="5"/>
  <c r="D31" i="5"/>
  <c r="D30" i="5"/>
  <c r="I29" i="5"/>
  <c r="D29" i="5"/>
  <c r="I28" i="5"/>
  <c r="D28" i="5"/>
  <c r="I27" i="5"/>
  <c r="D27" i="5"/>
  <c r="I26" i="5"/>
  <c r="D26" i="5"/>
  <c r="I25" i="5"/>
  <c r="D25" i="5"/>
  <c r="I24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D9" i="5"/>
  <c r="I5" i="5"/>
  <c r="D5" i="5"/>
  <c r="I3" i="5" s="1"/>
  <c r="D62" i="4"/>
  <c r="D61" i="4"/>
  <c r="I60" i="4"/>
  <c r="I5" i="4" s="1"/>
  <c r="D60" i="4"/>
  <c r="D59" i="4"/>
  <c r="I58" i="4"/>
  <c r="D58" i="4"/>
  <c r="D57" i="4"/>
  <c r="D56" i="4"/>
  <c r="I55" i="4"/>
  <c r="I54" i="4"/>
  <c r="I53" i="4"/>
  <c r="I52" i="4"/>
  <c r="I56" i="4" s="1"/>
  <c r="D52" i="4"/>
  <c r="D51" i="4"/>
  <c r="D50" i="4"/>
  <c r="D49" i="4"/>
  <c r="I48" i="4"/>
  <c r="D48" i="4"/>
  <c r="I47" i="4"/>
  <c r="I46" i="4"/>
  <c r="D44" i="4"/>
  <c r="D43" i="4"/>
  <c r="I42" i="4"/>
  <c r="D42" i="4"/>
  <c r="D45" i="4" s="1"/>
  <c r="I41" i="4"/>
  <c r="I40" i="4"/>
  <c r="D38" i="4"/>
  <c r="D39" i="4" s="1"/>
  <c r="D37" i="4"/>
  <c r="I36" i="4"/>
  <c r="D36" i="4"/>
  <c r="I35" i="4"/>
  <c r="D35" i="4"/>
  <c r="I34" i="4"/>
  <c r="I33" i="4"/>
  <c r="I37" i="4" s="1"/>
  <c r="D31" i="4"/>
  <c r="D30" i="4"/>
  <c r="I29" i="4"/>
  <c r="D29" i="4"/>
  <c r="I28" i="4"/>
  <c r="D28" i="4"/>
  <c r="I27" i="4"/>
  <c r="D27" i="4"/>
  <c r="I26" i="4"/>
  <c r="D26" i="4"/>
  <c r="I25" i="4"/>
  <c r="D25" i="4"/>
  <c r="I24" i="4"/>
  <c r="D21" i="4"/>
  <c r="I20" i="4"/>
  <c r="D20" i="4"/>
  <c r="I19" i="4"/>
  <c r="D19" i="4"/>
  <c r="I18" i="4"/>
  <c r="D18" i="4"/>
  <c r="I17" i="4"/>
  <c r="D17" i="4"/>
  <c r="I16" i="4"/>
  <c r="D16" i="4"/>
  <c r="I15" i="4"/>
  <c r="I21" i="4" s="1"/>
  <c r="D15" i="4"/>
  <c r="I14" i="4"/>
  <c r="D14" i="4"/>
  <c r="D22" i="4" s="1"/>
  <c r="I13" i="4"/>
  <c r="D13" i="4"/>
  <c r="I12" i="4"/>
  <c r="D12" i="4"/>
  <c r="D9" i="4"/>
  <c r="D5" i="4"/>
  <c r="D62" i="3"/>
  <c r="D61" i="3"/>
  <c r="I60" i="3"/>
  <c r="D60" i="3"/>
  <c r="D59" i="3"/>
  <c r="I58" i="3"/>
  <c r="I3" i="3" s="1"/>
  <c r="D58" i="3"/>
  <c r="D57" i="3"/>
  <c r="D56" i="3"/>
  <c r="I55" i="3"/>
  <c r="I54" i="3"/>
  <c r="I53" i="3"/>
  <c r="I56" i="3" s="1"/>
  <c r="I52" i="3"/>
  <c r="D52" i="3"/>
  <c r="D51" i="3"/>
  <c r="D50" i="3"/>
  <c r="D49" i="3"/>
  <c r="I48" i="3"/>
  <c r="I49" i="3" s="1"/>
  <c r="D48" i="3"/>
  <c r="I47" i="3"/>
  <c r="I46" i="3"/>
  <c r="D44" i="3"/>
  <c r="D43" i="3"/>
  <c r="I42" i="3"/>
  <c r="D42" i="3"/>
  <c r="I41" i="3"/>
  <c r="I40" i="3"/>
  <c r="D38" i="3"/>
  <c r="D37" i="3"/>
  <c r="D39" i="3" s="1"/>
  <c r="I36" i="3"/>
  <c r="D36" i="3"/>
  <c r="I35" i="3"/>
  <c r="D35" i="3"/>
  <c r="I34" i="3"/>
  <c r="I33" i="3"/>
  <c r="D31" i="3"/>
  <c r="D30" i="3"/>
  <c r="I29" i="3"/>
  <c r="D29" i="3"/>
  <c r="I28" i="3"/>
  <c r="D28" i="3"/>
  <c r="I27" i="3"/>
  <c r="D27" i="3"/>
  <c r="I26" i="3"/>
  <c r="D26" i="3"/>
  <c r="I25" i="3"/>
  <c r="D25" i="3"/>
  <c r="I24" i="3"/>
  <c r="I30" i="3" s="1"/>
  <c r="D21" i="3"/>
  <c r="I20" i="3"/>
  <c r="D20" i="3"/>
  <c r="I19" i="3"/>
  <c r="D19" i="3"/>
  <c r="I18" i="3"/>
  <c r="D18" i="3"/>
  <c r="I17" i="3"/>
  <c r="D17" i="3"/>
  <c r="I16" i="3"/>
  <c r="D16" i="3"/>
  <c r="I15" i="3"/>
  <c r="D15" i="3"/>
  <c r="I14" i="3"/>
  <c r="D14" i="3"/>
  <c r="I13" i="3"/>
  <c r="D13" i="3"/>
  <c r="I12" i="3"/>
  <c r="D12" i="3"/>
  <c r="D9" i="3"/>
  <c r="D5" i="3"/>
  <c r="I60" i="1"/>
  <c r="I58" i="1"/>
  <c r="I53" i="1"/>
  <c r="I54" i="1"/>
  <c r="I56" i="1" s="1"/>
  <c r="I55" i="1"/>
  <c r="I52" i="1"/>
  <c r="D49" i="1"/>
  <c r="D50" i="1"/>
  <c r="D51" i="1"/>
  <c r="D52" i="1"/>
  <c r="D48" i="1"/>
  <c r="D9" i="1"/>
  <c r="D5" i="1"/>
  <c r="I46" i="1"/>
  <c r="I47" i="1"/>
  <c r="I48" i="1"/>
  <c r="I40" i="1"/>
  <c r="I41" i="1"/>
  <c r="I42" i="1"/>
  <c r="I33" i="1"/>
  <c r="I34" i="1"/>
  <c r="I35" i="1"/>
  <c r="I36" i="1"/>
  <c r="I24" i="1"/>
  <c r="I25" i="1"/>
  <c r="I26" i="1"/>
  <c r="I27" i="1"/>
  <c r="I28" i="1"/>
  <c r="I29" i="1"/>
  <c r="I12" i="1"/>
  <c r="I13" i="1"/>
  <c r="I14" i="1"/>
  <c r="I15" i="1"/>
  <c r="I16" i="1"/>
  <c r="I17" i="1"/>
  <c r="I18" i="1"/>
  <c r="I19" i="1"/>
  <c r="I20" i="1"/>
  <c r="D56" i="1"/>
  <c r="D57" i="1"/>
  <c r="D58" i="1"/>
  <c r="D59" i="1"/>
  <c r="D60" i="1"/>
  <c r="D61" i="1"/>
  <c r="D62" i="1"/>
  <c r="D53" i="1"/>
  <c r="D42" i="1"/>
  <c r="D43" i="1"/>
  <c r="D44" i="1"/>
  <c r="D35" i="1"/>
  <c r="D36" i="1"/>
  <c r="D37" i="1"/>
  <c r="D38" i="1"/>
  <c r="D25" i="1"/>
  <c r="D26" i="1"/>
  <c r="D27" i="1"/>
  <c r="D28" i="1"/>
  <c r="D29" i="1"/>
  <c r="D30" i="1"/>
  <c r="D31" i="1"/>
  <c r="D12" i="1"/>
  <c r="D13" i="1"/>
  <c r="D14" i="1"/>
  <c r="D15" i="1"/>
  <c r="D16" i="1"/>
  <c r="D17" i="1"/>
  <c r="D18" i="1"/>
  <c r="D19" i="1"/>
  <c r="D20" i="1"/>
  <c r="D21" i="1"/>
  <c r="I43" i="3" l="1"/>
  <c r="D45" i="3"/>
  <c r="I37" i="3"/>
  <c r="I5" i="3"/>
  <c r="I7" i="3" s="1"/>
  <c r="D53" i="3"/>
  <c r="I21" i="3"/>
  <c r="D22" i="3"/>
  <c r="D32" i="3"/>
  <c r="D63" i="3"/>
  <c r="I30" i="4"/>
  <c r="I3" i="4"/>
  <c r="I7" i="4" s="1"/>
  <c r="I43" i="4"/>
  <c r="D32" i="4"/>
  <c r="D63" i="4"/>
  <c r="D53" i="4"/>
  <c r="I49" i="4"/>
  <c r="I62" i="4"/>
  <c r="D45" i="5"/>
  <c r="I56" i="5"/>
  <c r="I30" i="5"/>
  <c r="D22" i="5"/>
  <c r="D32" i="5"/>
  <c r="I37" i="5"/>
  <c r="D53" i="5"/>
  <c r="D63" i="5"/>
  <c r="I21" i="5"/>
  <c r="I49" i="5"/>
  <c r="I43" i="5"/>
  <c r="I37" i="6"/>
  <c r="D63" i="6"/>
  <c r="I5" i="6"/>
  <c r="I21" i="6"/>
  <c r="I7" i="6"/>
  <c r="D53" i="6"/>
  <c r="D39" i="6"/>
  <c r="D22" i="6"/>
  <c r="I30" i="6"/>
  <c r="D45" i="6"/>
  <c r="D32" i="6"/>
  <c r="I5" i="7"/>
  <c r="I43" i="7"/>
  <c r="I30" i="7"/>
  <c r="D22" i="7"/>
  <c r="D32" i="7"/>
  <c r="I37" i="7"/>
  <c r="I3" i="7"/>
  <c r="I7" i="7" s="1"/>
  <c r="D63" i="7"/>
  <c r="D39" i="7"/>
  <c r="D32" i="8"/>
  <c r="I30" i="8"/>
  <c r="D45" i="8"/>
  <c r="D39" i="8"/>
  <c r="D22" i="8"/>
  <c r="I3" i="8"/>
  <c r="I37" i="8"/>
  <c r="D63" i="8"/>
  <c r="D53" i="8"/>
  <c r="I21" i="8"/>
  <c r="I49" i="8"/>
  <c r="I62" i="8"/>
  <c r="I37" i="9"/>
  <c r="I3" i="9"/>
  <c r="D22" i="9"/>
  <c r="I62" i="9"/>
  <c r="D45" i="9"/>
  <c r="D32" i="9"/>
  <c r="D39" i="9"/>
  <c r="I49" i="9"/>
  <c r="D63" i="9"/>
  <c r="I21" i="9"/>
  <c r="D53" i="9"/>
  <c r="I5" i="9"/>
  <c r="I7" i="9" s="1"/>
  <c r="D22" i="10"/>
  <c r="I21" i="10"/>
  <c r="D53" i="10"/>
  <c r="I62" i="10"/>
  <c r="I43" i="10"/>
  <c r="I30" i="10"/>
  <c r="D45" i="10"/>
  <c r="D32" i="10"/>
  <c r="I37" i="10"/>
  <c r="I43" i="11"/>
  <c r="D32" i="11"/>
  <c r="D22" i="11"/>
  <c r="D45" i="11"/>
  <c r="I30" i="11"/>
  <c r="I56" i="11"/>
  <c r="I37" i="11"/>
  <c r="I3" i="11"/>
  <c r="I7" i="11" s="1"/>
  <c r="D39" i="11"/>
  <c r="I49" i="11"/>
  <c r="D63" i="11"/>
  <c r="D45" i="12"/>
  <c r="I30" i="12"/>
  <c r="I56" i="12"/>
  <c r="I5" i="12"/>
  <c r="I62" i="12"/>
  <c r="D39" i="12"/>
  <c r="I3" i="12"/>
  <c r="I7" i="12" s="1"/>
  <c r="I37" i="12"/>
  <c r="I49" i="12"/>
  <c r="D63" i="12"/>
  <c r="D22" i="12"/>
  <c r="I21" i="12"/>
  <c r="D53" i="12"/>
  <c r="D32" i="12"/>
  <c r="I21" i="13"/>
  <c r="I30" i="13"/>
  <c r="D32" i="13"/>
  <c r="I37" i="13"/>
  <c r="D39" i="13"/>
  <c r="I7" i="13"/>
  <c r="I49" i="13"/>
  <c r="D22" i="13"/>
  <c r="D53" i="13"/>
  <c r="D63" i="13"/>
  <c r="I62" i="13"/>
  <c r="I43" i="13"/>
  <c r="I30" i="14"/>
  <c r="I56" i="14"/>
  <c r="D63" i="14"/>
  <c r="D39" i="14"/>
  <c r="I37" i="14"/>
  <c r="I43" i="14"/>
  <c r="I49" i="14"/>
  <c r="I21" i="14"/>
  <c r="I3" i="14"/>
  <c r="I7" i="14" s="1"/>
  <c r="D22" i="14"/>
  <c r="D32" i="14"/>
  <c r="D45" i="14"/>
  <c r="I7" i="10"/>
  <c r="I7" i="8"/>
  <c r="I7" i="5"/>
  <c r="I62" i="3"/>
  <c r="I37" i="1"/>
  <c r="I30" i="1"/>
  <c r="I5" i="1"/>
  <c r="I3" i="1"/>
  <c r="I7" i="1" s="1"/>
  <c r="D45" i="1"/>
  <c r="D22" i="1"/>
  <c r="D63" i="1"/>
  <c r="I43" i="1"/>
  <c r="I62" i="1"/>
  <c r="D39" i="1"/>
  <c r="I49" i="1"/>
  <c r="D32" i="1"/>
  <c r="I21" i="1"/>
</calcChain>
</file>

<file path=xl/sharedStrings.xml><?xml version="1.0" encoding="utf-8"?>
<sst xmlns="http://schemas.openxmlformats.org/spreadsheetml/2006/main" count="1827" uniqueCount="86">
  <si>
    <t>Observação: </t>
  </si>
  <si>
    <t>RENDA MENSAL PREVISTA</t>
  </si>
  <si>
    <t>RENDA MENSAL REAL</t>
  </si>
  <si>
    <t>MORADIA</t>
  </si>
  <si>
    <t>Hipoteca ou aluguel</t>
  </si>
  <si>
    <t>Telefone</t>
  </si>
  <si>
    <t>Conta de luz</t>
  </si>
  <si>
    <t>Gás</t>
  </si>
  <si>
    <t>Água e esgoto</t>
  </si>
  <si>
    <t>TV a cabo</t>
  </si>
  <si>
    <t>Coleta de lixo</t>
  </si>
  <si>
    <t>Manutenção ou reparos</t>
  </si>
  <si>
    <t>Suprimentos</t>
  </si>
  <si>
    <t>Outros</t>
  </si>
  <si>
    <t>Subtotal</t>
  </si>
  <si>
    <t>TRANSPORTE</t>
  </si>
  <si>
    <t>Pagamento do veículo</t>
  </si>
  <si>
    <t>Transporte público/táxi</t>
  </si>
  <si>
    <t>Seguro</t>
  </si>
  <si>
    <t>Licenciamento</t>
  </si>
  <si>
    <t>Combustível</t>
  </si>
  <si>
    <t>Manutenção</t>
  </si>
  <si>
    <t>SEGURO</t>
  </si>
  <si>
    <t>Residencial</t>
  </si>
  <si>
    <t>Saúde</t>
  </si>
  <si>
    <t>Vida</t>
  </si>
  <si>
    <t>ALIMENTAÇÃO</t>
  </si>
  <si>
    <t>Supermercado</t>
  </si>
  <si>
    <t>Jantar fora</t>
  </si>
  <si>
    <t>ANIMAIS DE ESTIMAÇÃO</t>
  </si>
  <si>
    <t>Alimentação</t>
  </si>
  <si>
    <t>Médico</t>
  </si>
  <si>
    <t>Banho e tosa</t>
  </si>
  <si>
    <t>Brinquedos</t>
  </si>
  <si>
    <t>CUIDADOS PESSOAIS</t>
  </si>
  <si>
    <t>Cabelo/unhas</t>
  </si>
  <si>
    <t>Vestuário</t>
  </si>
  <si>
    <t>Lavagem a seco</t>
  </si>
  <si>
    <t>Academia</t>
  </si>
  <si>
    <t>Impostos ou taxas de organização</t>
  </si>
  <si>
    <t>Renda 1</t>
  </si>
  <si>
    <t>Renda extra</t>
  </si>
  <si>
    <t>Renda mensal total</t>
  </si>
  <si>
    <t>Custo previsto</t>
  </si>
  <si>
    <t>Custo Real</t>
  </si>
  <si>
    <t>Diferença</t>
  </si>
  <si>
    <t>SALDO PREVISTO 
(renda menos custo previsto)</t>
  </si>
  <si>
    <t>SALDO REAL 
(renda menos custo real)</t>
  </si>
  <si>
    <t>DIFERENÇA 
(real menos previsto)</t>
  </si>
  <si>
    <t>ENTRETENIMENTO</t>
  </si>
  <si>
    <t>Balada/festa</t>
  </si>
  <si>
    <t>Plataformas de música</t>
  </si>
  <si>
    <t>Filmes</t>
  </si>
  <si>
    <t>Shows</t>
  </si>
  <si>
    <t>Eventos esportivos</t>
  </si>
  <si>
    <t>Teatro ao vivo</t>
  </si>
  <si>
    <t>EMPRÉSTIMOS</t>
  </si>
  <si>
    <t>Pessoal</t>
  </si>
  <si>
    <t>Estudante</t>
  </si>
  <si>
    <t>Cartão de crédito</t>
  </si>
  <si>
    <t>IMPOSTOS</t>
  </si>
  <si>
    <t>Federal</t>
  </si>
  <si>
    <t>Estadual</t>
  </si>
  <si>
    <t>Local</t>
  </si>
  <si>
    <t>POUPANÇAS OU INVESTIMENTOS</t>
  </si>
  <si>
    <t>Aposentadoria</t>
  </si>
  <si>
    <t>Investimentos</t>
  </si>
  <si>
    <t>PRESENTES E DOAÇÕES</t>
  </si>
  <si>
    <t>Instituição beneficente 1</t>
  </si>
  <si>
    <t>Instituição beneficente 2</t>
  </si>
  <si>
    <t>Instituição beneficente 3</t>
  </si>
  <si>
    <t>ASSESSORIA JURÍDICA</t>
  </si>
  <si>
    <t>Advogado</t>
  </si>
  <si>
    <t>Pensão alimentícia</t>
  </si>
  <si>
    <t>Pagamentos em garantia ou julgamento</t>
  </si>
  <si>
    <t>CUSTO TOTAL PREVISTO</t>
  </si>
  <si>
    <t>CUSTO TOTAL REAL</t>
  </si>
  <si>
    <t>DIFERENÇA TOTAL</t>
  </si>
  <si>
    <t xml:space="preserve">"Utilize esta planilha de orçamento pessoal mensal para monitorar sua renda e acompanhar seus gastos, comparando o que foi planejado com o que foi realmente realizado."
</t>
  </si>
  <si>
    <t xml:space="preserve">"Registre as despesas realizadas em cada categoria nas tabelas correspondentes."
</t>
  </si>
  <si>
    <t xml:space="preserve">"O saldo projetado, o saldo real e a diferença são calculados de forma automática."
</t>
  </si>
  <si>
    <t xml:space="preserve">"Instruções complementares estão disponíveis na coluna A da planilha ORÇAMENTO PESSOAL MENSAL, ocultas intencionalmente. Para removê-las, selecione a coluna A e escolha a opção Excluir. Para tornar o texto visível novamente, selecione a coluna A e ajuste a cor da fonte."
</t>
  </si>
  <si>
    <t xml:space="preserve">"Para obter mais informações sobre as tabelas desta planilha, pressione Shift + F10 em uma tabela, escolha a opção TABELA e selecione TEXTO ALTERNATIVO."
</t>
  </si>
  <si>
    <t>SOBRE ESTA PLANILHA</t>
  </si>
  <si>
    <t>ORÇAMENTO  MENSAL - DEZEMBRO 2024</t>
  </si>
  <si>
    <t xml:space="preserve">ORÇAMENTO  MENSAL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</si>
</sst>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R$&quot;\ #,##0.00;[Red]\-&quot;R$&quot;\ #,##0.00"/>
    <numFmt numFmtId="164" formatCode="&quot;R$&quot;\ #,##0.00"/>
  </numFmts>
  <fonts count="9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theme="1" tint="0.24994659260841701"/>
      <name val="Century Gothic"/>
      <family val="2"/>
      <scheme val="major"/>
    </font>
    <font>
      <sz val="22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3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8" fontId="2" fillId="0" borderId="2" xfId="0" applyNumberFormat="1" applyFont="1" applyBorder="1"/>
    <xf numFmtId="8" fontId="2" fillId="0" borderId="3" xfId="0" applyNumberFormat="1" applyFont="1" applyBorder="1"/>
    <xf numFmtId="8" fontId="3" fillId="2" borderId="4" xfId="0" applyNumberFormat="1" applyFont="1" applyFill="1" applyBorder="1"/>
    <xf numFmtId="164" fontId="0" fillId="0" borderId="0" xfId="0" applyNumberFormat="1"/>
    <xf numFmtId="0" fontId="2" fillId="0" borderId="2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8" fontId="3" fillId="2" borderId="1" xfId="0" applyNumberFormat="1" applyFont="1" applyFill="1" applyBorder="1" applyAlignment="1">
      <alignment vertical="center"/>
    </xf>
    <xf numFmtId="0" fontId="3" fillId="0" borderId="1" xfId="3" applyBorder="1" applyAlignment="1">
      <alignment horizontal="left" vertical="center"/>
    </xf>
    <xf numFmtId="0" fontId="8" fillId="4" borderId="7" xfId="1" applyFont="1" applyFill="1" applyAlignment="1">
      <alignment horizontal="center"/>
    </xf>
  </cellXfs>
  <cellStyles count="4">
    <cellStyle name="Cabeçalho 1" xfId="1" builtinId="16" customBuiltin="1"/>
    <cellStyle name="Cabeçalho 2" xfId="2" builtinId="17" customBuiltin="1"/>
    <cellStyle name="Cabeçalho 3" xfId="3" builtinId="18" customBuiltin="1"/>
    <cellStyle name="Normal" xfId="0" builtinId="0" customBuiltin="1"/>
  </cellStyles>
  <dxfs count="893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numFmt numFmtId="165" formatCode="&quot;$&quot;#,##0.00"/>
    </dxf>
    <dxf>
      <numFmt numFmtId="164" formatCode="&quot;R$&quot;\ #,##0.0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Orçamento pessoal mensal" pivot="0" count="7" xr9:uid="{DF2684C2-C435-47FA-9646-E632C3AE8948}">
      <tableStyleElement type="wholeTable" dxfId="892"/>
      <tableStyleElement type="headerRow" dxfId="891"/>
      <tableStyleElement type="totalRow" dxfId="890"/>
      <tableStyleElement type="firstColumn" dxfId="889"/>
      <tableStyleElement type="lastColumn" dxfId="888"/>
      <tableStyleElement type="firstRowStripe" dxfId="887"/>
      <tableStyleElement type="firstColumnStripe" dxfId="88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radia" displayName="Moradia" ref="A11:D22" totalsRowCount="1">
  <autoFilter ref="A11:D21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MORADIA" totalsRowLabel="Subtotal"/>
    <tableColumn id="2" xr3:uid="{00000000-0010-0000-0000-000002000000}" name="Custo previsto" dataDxfId="822"/>
    <tableColumn id="3" xr3:uid="{00000000-0010-0000-0000-000003000000}" name="Custo Real" dataDxfId="821"/>
    <tableColumn id="4" xr3:uid="{00000000-0010-0000-0000-000004000000}" name="Diferença" totalsRowFunction="sum" dataDxfId="820">
      <calculatedColumnFormula>Moradia[[#This Row],[Custo previsto]]-Moradia[[#This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Animais de estimação" displayName="Animais_de_estimação" ref="A47:D53" totalsRowCount="1">
  <tableColumns count="4">
    <tableColumn id="1" xr3:uid="{00000000-0010-0000-0900-000001000000}" name="ANIMAIS DE ESTIMAÇÃO" totalsRowLabel="Subtotal"/>
    <tableColumn id="2" xr3:uid="{00000000-0010-0000-0900-000002000000}" name="Custo previsto" dataDxfId="837" totalsRowDxfId="836"/>
    <tableColumn id="3" xr3:uid="{00000000-0010-0000-0900-000003000000}" name="Custo Real" dataDxfId="835" totalsRowDxfId="834"/>
    <tableColumn id="4" xr3:uid="{00000000-0010-0000-0900-000004000000}" name="Diferença" totalsRowFunction="sum" dataDxfId="833" totalsRowDxfId="832">
      <calculatedColumnFormula>Animais_de_estimação[[#This Row],[Custo previsto]]-Animais_de_estimação[[#This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7B45EE8F-2D63-4FC6-8A61-01B6F81FD287}" name="Transporte41113" displayName="Transporte41113" ref="A24:D32" totalsRowCount="1" headerRowCellStyle="Normal">
  <autoFilter ref="A24:D31" xr:uid="{7B45EE8F-2D63-4FC6-8A61-01B6F81FD287}"/>
  <tableColumns count="4">
    <tableColumn id="1" xr3:uid="{FDA5CCBA-066D-4313-973A-46416E557B37}" name="TRANSPORTE" totalsRowLabel="Subtotal"/>
    <tableColumn id="2" xr3:uid="{6E847C39-3711-4DB3-A175-4055D15A50E2}" name="Custo previsto" dataDxfId="341" totalsRowDxfId="342"/>
    <tableColumn id="3" xr3:uid="{D16D4F93-B182-475A-BF29-455CBD6E9694}" name="Custo Real" dataDxfId="339" totalsRowDxfId="340"/>
    <tableColumn id="4" xr3:uid="{60B1DB09-80E1-4C24-A8A1-ED654823DAA0}" name="Diferença" totalsRowFunction="sum" dataDxfId="337" totalsRowDxfId="338">
      <calculatedColumnFormula>Transporte41113[[#This Row],[Custo previsto]]-Transporte41113[[#This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49F8B130-42BB-4963-97AF-25153017D2EB}" name="Seguro42114" displayName="Seguro42114" ref="A34:D39" totalsRowCount="1" headerRowCellStyle="Normal">
  <autoFilter ref="A34:D38" xr:uid="{49F8B130-42BB-4963-97AF-25153017D2EB}"/>
  <tableColumns count="4">
    <tableColumn id="1" xr3:uid="{9875FB62-464C-4986-B3F2-601050351588}" name="SEGURO" totalsRowLabel="Subtotal"/>
    <tableColumn id="2" xr3:uid="{0582CF6A-00BB-4171-9E03-5C577EE35DBA}" name="Custo previsto" dataDxfId="335" totalsRowDxfId="336"/>
    <tableColumn id="3" xr3:uid="{5CED8E42-66EB-4232-B76D-BD70F721E78D}" name="Custo Real" dataDxfId="333" totalsRowDxfId="334"/>
    <tableColumn id="4" xr3:uid="{B2EE5B03-77F9-4199-840E-9DDC8BDE7273}" name="Diferença" totalsRowFunction="sum" dataDxfId="331" totalsRowDxfId="332">
      <calculatedColumnFormula>Seguro42114[[#This Row],[Custo previsto]]-Seguro42114[[#This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39B18CD2-5B4B-4F3E-AABD-B191148448C8}" name="Impostos43115" displayName="Impostos43115" ref="F32:I37" totalsRowCount="1" headerRowCellStyle="Normal">
  <autoFilter ref="F32:I36" xr:uid="{39B18CD2-5B4B-4F3E-AABD-B191148448C8}"/>
  <tableColumns count="4">
    <tableColumn id="1" xr3:uid="{BC73B669-69E9-42A7-BD01-83AAC17E0EC3}" name="IMPOSTOS" totalsRowLabel="Subtotal"/>
    <tableColumn id="2" xr3:uid="{0E829A4D-B827-4F84-A20A-00A60BF69659}" name="Custo previsto" dataDxfId="329" totalsRowDxfId="330"/>
    <tableColumn id="3" xr3:uid="{B8106424-45AC-4952-BD82-AFDD16E070A8}" name="Custo Real" dataDxfId="327" totalsRowDxfId="328"/>
    <tableColumn id="4" xr3:uid="{40DC9E16-4B50-4FAC-B580-1141958D50B9}" name="Diferença" totalsRowFunction="sum" dataDxfId="325" totalsRowDxfId="326">
      <calculatedColumnFormula>Impostos43115[[#This Row],[Custo previsto]]-Impostos43115[[#This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6143F494-91E4-4AF7-8041-2CBE8CD39E36}" name="Poupança44116" displayName="Poupança44116" ref="F39:I43" totalsRowCount="1" headerRowCellStyle="Normal">
  <autoFilter ref="F39:I42" xr:uid="{6143F494-91E4-4AF7-8041-2CBE8CD39E36}"/>
  <tableColumns count="4">
    <tableColumn id="1" xr3:uid="{1E9A5949-0A7D-44C7-AD4A-33E6DD08FC88}" name="POUPANÇAS OU INVESTIMENTOS" totalsRowLabel="Subtotal"/>
    <tableColumn id="2" xr3:uid="{333BF9C2-FF38-4757-B299-D4B8FFB8CF49}" name="Custo previsto" dataDxfId="323" totalsRowDxfId="324"/>
    <tableColumn id="3" xr3:uid="{5B774DD4-285B-445D-8397-8EECB9C1C2DF}" name="Custo Real" dataDxfId="321" totalsRowDxfId="322"/>
    <tableColumn id="4" xr3:uid="{5C7D6A44-ACF9-4C9A-AC5D-0A89F3E90B54}" name="Diferença" totalsRowFunction="sum" dataDxfId="319" totalsRowDxfId="320">
      <calculatedColumnFormula>Poupança44116[[#This Row],[Custo previsto]]-Poupança44116[[#This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EF7A9EA4-8ACE-4599-A312-C9655CEF2944}" name="Alimentação45117" displayName="Alimentação45117" ref="A41:D45" totalsRowCount="1" headerRowCellStyle="Normal">
  <autoFilter ref="A41:D44" xr:uid="{EF7A9EA4-8ACE-4599-A312-C9655CEF2944}"/>
  <tableColumns count="4">
    <tableColumn id="1" xr3:uid="{7816FA02-57FE-40CB-BB27-D02B5412EB44}" name="ALIMENTAÇÃO" totalsRowLabel="Subtotal"/>
    <tableColumn id="2" xr3:uid="{94A915BE-87F4-4F90-BB54-CEBC6FAAC243}" name="Custo previsto" dataDxfId="317" totalsRowDxfId="318"/>
    <tableColumn id="3" xr3:uid="{CCC97121-EF1A-4ED2-AD51-4AF2F93C2377}" name="Custo Real" dataDxfId="315" totalsRowDxfId="316"/>
    <tableColumn id="4" xr3:uid="{9CADD346-42D0-4600-BC05-9974C5B62D1B}" name="Diferença" totalsRowFunction="sum" dataDxfId="313" totalsRowDxfId="314">
      <calculatedColumnFormula>Alimentação45117[[#This Row],[Custo previsto]]-Alimentação45117[[#This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1BF1ACD2-B8E3-4900-82A4-A0C2431174DB}" name="Presentes46118" displayName="Presentes46118" ref="F45:I49" totalsRowCount="1" headerRowCellStyle="Normal">
  <autoFilter ref="F45:I48" xr:uid="{1BF1ACD2-B8E3-4900-82A4-A0C2431174DB}"/>
  <tableColumns count="4">
    <tableColumn id="1" xr3:uid="{EF910DAA-93CA-4CCF-9E9B-5101446A2434}" name="PRESENTES E DOAÇÕES" totalsRowLabel="Subtotal"/>
    <tableColumn id="2" xr3:uid="{8A2198E3-FBDD-43C0-AF9A-C8EDD8743B50}" name="Custo previsto" dataDxfId="311" totalsRowDxfId="312"/>
    <tableColumn id="3" xr3:uid="{BD46DCC2-D760-47EA-844E-9C77DAFD400A}" name="Custo Real" dataDxfId="309" totalsRowDxfId="310"/>
    <tableColumn id="4" xr3:uid="{4A995AE2-A1AE-4586-A928-9C50D551C0DE}" name="Diferença" totalsRowFunction="sum" dataDxfId="307" totalsRowDxfId="308">
      <calculatedColumnFormula>Presentes46118[[#This Row],[Custo previsto]]-Presentes46118[[#This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8FDD9BC5-BA01-446D-8AE1-4FA87B2966C6}" name="Animais_de_estimação47119" displayName="Animais_de_estimação47119" ref="A47:D53" totalsRowCount="1">
  <tableColumns count="4">
    <tableColumn id="1" xr3:uid="{3D0DF60F-C395-4AA5-A256-C2B3166CAACB}" name="ANIMAIS DE ESTIMAÇÃO" totalsRowLabel="Subtotal"/>
    <tableColumn id="2" xr3:uid="{8E1FB238-743B-4D21-BADE-5351AB45BF66}" name="Custo previsto" dataDxfId="305" totalsRowDxfId="306"/>
    <tableColumn id="3" xr3:uid="{61A0960D-267E-47F2-A260-1482753A7615}" name="Custo Real" dataDxfId="303" totalsRowDxfId="304"/>
    <tableColumn id="4" xr3:uid="{ED1751B1-8292-405A-8044-32E0954AA603}" name="Diferença" totalsRowFunction="sum" dataDxfId="301" totalsRowDxfId="302">
      <calculatedColumnFormula>Animais_de_estimação47119[[#This Row],[Custo previsto]]-Animais_de_estimação47119[[#This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9B443654-02FF-4F38-9A56-87931D0DB349}" name="Assessoria_jurídica48120" displayName="Assessoria_jurídica48120" ref="F51:I56" totalsRowCount="1" headerRowCellStyle="Normal">
  <tableColumns count="4">
    <tableColumn id="1" xr3:uid="{DDC67DB0-8A76-4364-A35C-462FD4F1033D}" name="ASSESSORIA JURÍDICA" totalsRowLabel="Subtotal"/>
    <tableColumn id="2" xr3:uid="{9B5012A6-AB89-4D19-A950-3B6203A0201C}" name="Custo previsto" dataDxfId="299" totalsRowDxfId="300"/>
    <tableColumn id="3" xr3:uid="{3AA82EF5-29B4-4A86-9B59-52BCEB500B64}" name="Custo Real" dataDxfId="297" totalsRowDxfId="298"/>
    <tableColumn id="4" xr3:uid="{F00AB3CD-DA25-4AB3-80CE-E9A651DECCFF}" name="Diferença" totalsRowFunction="sum" dataDxfId="295" totalsRowDxfId="296">
      <calculatedColumnFormula>Assessoria_jurídica48120[[#This Row],[Custo previsto]]-Assessoria_jurídica48120[[#This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342704A8-D0AE-4727-B0C7-34037439EB71}" name="CuidadosPessoais49121" displayName="CuidadosPessoais49121" ref="A55:D63" totalsRowCount="1">
  <autoFilter ref="A55:D62" xr:uid="{342704A8-D0AE-4727-B0C7-34037439EB71}"/>
  <tableColumns count="4">
    <tableColumn id="1" xr3:uid="{1341A18A-2DAE-4474-9640-A1CC57821D66}" name="CUIDADOS PESSOAIS" totalsRowLabel="Subtotal"/>
    <tableColumn id="2" xr3:uid="{84E38C8A-B3B1-4E8E-9200-761C27D65A09}" name="Custo previsto" dataDxfId="294"/>
    <tableColumn id="3" xr3:uid="{25FE4ADD-004E-4686-9DEE-379BA86A3CC9}" name="Custo Real" dataDxfId="293"/>
    <tableColumn id="4" xr3:uid="{9FA5CC10-663B-486B-9AB2-0792BCE31042}" name="Diferença" totalsRowFunction="sum" dataDxfId="292">
      <calculatedColumnFormula>CuidadosPessoais49121[[#This Row],[Custo previsto]]-CuidadosPessoais49121[[#This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E5CE0923-7B44-4650-89CF-439650DE6A92}" name="Moradia38122" displayName="Moradia38122" ref="A11:D22" totalsRowCount="1">
  <autoFilter ref="A11:D21" xr:uid="{E5CE0923-7B44-4650-89CF-439650DE6A92}"/>
  <tableColumns count="4">
    <tableColumn id="1" xr3:uid="{3110B21D-CDF4-4884-BE71-FF2080307497}" name="MORADIA" totalsRowLabel="Subtotal"/>
    <tableColumn id="2" xr3:uid="{3FAC4C5A-0870-4301-9AE2-22F1BE4AF474}" name="Custo previsto" dataDxfId="291"/>
    <tableColumn id="3" xr3:uid="{8E0F2E0F-E439-4801-A4DF-0117E67B0CCB}" name="Custo Real" dataDxfId="290"/>
    <tableColumn id="4" xr3:uid="{25F4C2B4-93A4-46A6-AE91-4A18B47435AE}" name="Diferença" totalsRowFunction="sum" dataDxfId="289">
      <calculatedColumnFormula>Moradia38122[[#This Row],[Custo previsto]]-Moradia38122[[#This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Assessoria jurídica" displayName="Assessoria_jurídica" ref="F51:I56" totalsRowCount="1" headerRowCellStyle="Normal">
  <tableColumns count="4">
    <tableColumn id="1" xr3:uid="{00000000-0010-0000-0A00-000001000000}" name="ASSESSORIA JURÍDICA" totalsRowLabel="Subtotal"/>
    <tableColumn id="2" xr3:uid="{00000000-0010-0000-0A00-000002000000}" name="Custo previsto" dataDxfId="831" totalsRowDxfId="830"/>
    <tableColumn id="3" xr3:uid="{00000000-0010-0000-0A00-000003000000}" name="Custo Real" dataDxfId="829" totalsRowDxfId="828"/>
    <tableColumn id="4" xr3:uid="{00000000-0010-0000-0A00-000004000000}" name="Diferença" totalsRowFunction="sum" dataDxfId="827" totalsRowDxfId="826">
      <calculatedColumnFormula>Assessoria_jurídica[[#This Row],[Custo previsto]]-Assessoria_jurídica[[#This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8C40F638-1596-4D1E-9EAC-98A50AA122B3}" name="Entretenimento39123" displayName="Entretenimento39123" ref="F11:I21" totalsRowCount="1" headerRowCellStyle="Normal">
  <autoFilter ref="F11:I20" xr:uid="{8C40F638-1596-4D1E-9EAC-98A50AA122B3}"/>
  <tableColumns count="4">
    <tableColumn id="1" xr3:uid="{E7615AB2-F6AB-4F22-A844-8015711D8D85}" name="ENTRETENIMENTO" totalsRowLabel="Subtotal"/>
    <tableColumn id="2" xr3:uid="{B594E5C8-CB35-4E69-B9BD-BAADC40A1C09}" name="Custo previsto" dataDxfId="287" totalsRowDxfId="288"/>
    <tableColumn id="3" xr3:uid="{ECAE8F82-6A28-445E-B2B6-F55AA01612D2}" name="Custo Real" dataDxfId="285" totalsRowDxfId="286"/>
    <tableColumn id="4" xr3:uid="{B162C0DA-69CC-4CEA-A528-6FF1BE837402}" name="Diferença" totalsRowFunction="sum" dataDxfId="283" totalsRowDxfId="284">
      <calculatedColumnFormula>Entretenimento39123[[#This Row],[Custo previsto]]-Entretenimento39123[[#This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BCDBF8D1-D23A-4929-953D-10DCDC31521B}" name="Empréstimos40124" displayName="Empréstimos40124" ref="F23:I30" totalsRowCount="1">
  <autoFilter ref="F23:I29" xr:uid="{BCDBF8D1-D23A-4929-953D-10DCDC31521B}"/>
  <tableColumns count="4">
    <tableColumn id="1" xr3:uid="{6E77A3BE-8468-4A4B-85F8-02EFF8E79DA0}" name="EMPRÉSTIMOS" totalsRowLabel="Subtotal"/>
    <tableColumn id="2" xr3:uid="{B0AF3A71-6BAA-46A1-9493-31E9846C5FC8}" name="Custo previsto" dataDxfId="281" totalsRowDxfId="282"/>
    <tableColumn id="3" xr3:uid="{12090D11-34FB-4888-ABF1-2A2FA49EDFC5}" name="Custo Real" dataDxfId="279" totalsRowDxfId="280"/>
    <tableColumn id="4" xr3:uid="{09C4C25D-6C6E-4F47-ABF5-D855B4F3D9B3}" name="Diferença" totalsRowFunction="sum" dataDxfId="277" totalsRowDxfId="278">
      <calculatedColumnFormula>Empréstimos40124[[#This Row],[Custo previsto]]-Empréstimos40124[[#This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56DACB76-AB97-4C9D-BAF3-FAFF0D9DD134}" name="Transporte41125" displayName="Transporte41125" ref="A24:D32" totalsRowCount="1" headerRowCellStyle="Normal">
  <autoFilter ref="A24:D31" xr:uid="{56DACB76-AB97-4C9D-BAF3-FAFF0D9DD134}"/>
  <tableColumns count="4">
    <tableColumn id="1" xr3:uid="{25400BC1-08F4-406E-BC3E-A68F1691435B}" name="TRANSPORTE" totalsRowLabel="Subtotal"/>
    <tableColumn id="2" xr3:uid="{3EB7DC4C-235F-498E-AF15-BAEFF2B1B6A0}" name="Custo previsto" dataDxfId="275" totalsRowDxfId="276"/>
    <tableColumn id="3" xr3:uid="{28D7E808-621C-44F1-BD9C-76888CB3E7FA}" name="Custo Real" dataDxfId="273" totalsRowDxfId="274"/>
    <tableColumn id="4" xr3:uid="{D6B2DC4E-86C2-4BD5-A52E-07B2FE54E532}" name="Diferença" totalsRowFunction="sum" dataDxfId="271" totalsRowDxfId="272">
      <calculatedColumnFormula>Transporte41125[[#This Row],[Custo previsto]]-Transporte41125[[#This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AB708610-33C7-4BBE-A7E1-CAA3AFFBD080}" name="Seguro42126" displayName="Seguro42126" ref="A34:D39" totalsRowCount="1" headerRowCellStyle="Normal">
  <autoFilter ref="A34:D38" xr:uid="{AB708610-33C7-4BBE-A7E1-CAA3AFFBD080}"/>
  <tableColumns count="4">
    <tableColumn id="1" xr3:uid="{6E7DC01A-A198-44CD-B3D9-421B17AEA5E0}" name="SEGURO" totalsRowLabel="Subtotal"/>
    <tableColumn id="2" xr3:uid="{79A1D498-3F1B-40EC-BD7C-42F04168EEEF}" name="Custo previsto" dataDxfId="269" totalsRowDxfId="270"/>
    <tableColumn id="3" xr3:uid="{4C33487E-E457-45BC-9C95-E015801D3BC7}" name="Custo Real" dataDxfId="267" totalsRowDxfId="268"/>
    <tableColumn id="4" xr3:uid="{B4F3D5C7-09B6-4134-8184-AF3EC7582A2A}" name="Diferença" totalsRowFunction="sum" dataDxfId="265" totalsRowDxfId="266">
      <calculatedColumnFormula>Seguro42126[[#This Row],[Custo previsto]]-Seguro42126[[#This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6FD04CFE-9BE0-418E-9A4B-32A25AC25B2A}" name="Impostos43127" displayName="Impostos43127" ref="F32:I37" totalsRowCount="1" headerRowCellStyle="Normal">
  <autoFilter ref="F32:I36" xr:uid="{6FD04CFE-9BE0-418E-9A4B-32A25AC25B2A}"/>
  <tableColumns count="4">
    <tableColumn id="1" xr3:uid="{C414FED8-3380-413A-9D0D-4459DF82E27F}" name="IMPOSTOS" totalsRowLabel="Subtotal"/>
    <tableColumn id="2" xr3:uid="{30C202BD-B35E-494A-A3ED-7CA7ADB3BCD4}" name="Custo previsto" dataDxfId="263" totalsRowDxfId="264"/>
    <tableColumn id="3" xr3:uid="{19123446-A646-406A-B626-1D2AFB609C83}" name="Custo Real" dataDxfId="261" totalsRowDxfId="262"/>
    <tableColumn id="4" xr3:uid="{C5B703FB-189E-4931-A64A-26C6B49CF693}" name="Diferença" totalsRowFunction="sum" dataDxfId="259" totalsRowDxfId="260">
      <calculatedColumnFormula>Impostos43127[[#This Row],[Custo previsto]]-Impostos43127[[#This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D0D162BF-7E4A-4918-ACC2-B87A7C1E3F92}" name="Poupança44128" displayName="Poupança44128" ref="F39:I43" totalsRowCount="1" headerRowCellStyle="Normal">
  <autoFilter ref="F39:I42" xr:uid="{D0D162BF-7E4A-4918-ACC2-B87A7C1E3F92}"/>
  <tableColumns count="4">
    <tableColumn id="1" xr3:uid="{A0D14D09-CFC3-4A24-AF52-4A24D14873D2}" name="POUPANÇAS OU INVESTIMENTOS" totalsRowLabel="Subtotal"/>
    <tableColumn id="2" xr3:uid="{F9E06E67-93E2-4C95-B06F-584E0B6CD583}" name="Custo previsto" dataDxfId="257" totalsRowDxfId="258"/>
    <tableColumn id="3" xr3:uid="{8D027219-DECC-4E25-BA6B-7DFC3573FE4C}" name="Custo Real" dataDxfId="255" totalsRowDxfId="256"/>
    <tableColumn id="4" xr3:uid="{460D511E-9143-44CA-8431-A53667EB7CFC}" name="Diferença" totalsRowFunction="sum" dataDxfId="253" totalsRowDxfId="254">
      <calculatedColumnFormula>Poupança44128[[#This Row],[Custo previsto]]-Poupança44128[[#This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FA8F2BBF-D6C4-4617-82FF-29C72256FD6B}" name="Alimentação45129" displayName="Alimentação45129" ref="A41:D45" totalsRowCount="1" headerRowCellStyle="Normal">
  <autoFilter ref="A41:D44" xr:uid="{FA8F2BBF-D6C4-4617-82FF-29C72256FD6B}"/>
  <tableColumns count="4">
    <tableColumn id="1" xr3:uid="{D76CE0BF-1F27-477D-92CB-C2E702F3EEA6}" name="ALIMENTAÇÃO" totalsRowLabel="Subtotal"/>
    <tableColumn id="2" xr3:uid="{46603310-C780-4EF2-92C8-24BF2E6172B9}" name="Custo previsto" dataDxfId="251" totalsRowDxfId="252"/>
    <tableColumn id="3" xr3:uid="{FDC060EE-F3D0-41B9-B7CC-EFBF55662A5E}" name="Custo Real" dataDxfId="249" totalsRowDxfId="250"/>
    <tableColumn id="4" xr3:uid="{8EB2D48A-6B38-4676-9A08-FC8882520A93}" name="Diferença" totalsRowFunction="sum" dataDxfId="247" totalsRowDxfId="248">
      <calculatedColumnFormula>Alimentação45129[[#This Row],[Custo previsto]]-Alimentação45129[[#This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D1D7A825-0FA4-484F-8364-6BD245413C38}" name="Presentes46130" displayName="Presentes46130" ref="F45:I49" totalsRowCount="1" headerRowCellStyle="Normal">
  <autoFilter ref="F45:I48" xr:uid="{D1D7A825-0FA4-484F-8364-6BD245413C38}"/>
  <tableColumns count="4">
    <tableColumn id="1" xr3:uid="{0E98FED4-C76B-4179-A7C3-EAAD9DE6B27C}" name="PRESENTES E DOAÇÕES" totalsRowLabel="Subtotal"/>
    <tableColumn id="2" xr3:uid="{3DB8B5C8-6039-4D14-A2E3-D0C2CE9611AD}" name="Custo previsto" dataDxfId="245" totalsRowDxfId="246"/>
    <tableColumn id="3" xr3:uid="{DC66C3A8-FF23-46F6-BCA7-D9E39DF8A6FA}" name="Custo Real" dataDxfId="243" totalsRowDxfId="244"/>
    <tableColumn id="4" xr3:uid="{94BA8A74-6B2D-44B2-9A8F-2B3E6FDC1134}" name="Diferença" totalsRowFunction="sum" dataDxfId="241" totalsRowDxfId="242">
      <calculatedColumnFormula>Presentes46130[[#This Row],[Custo previsto]]-Presentes46130[[#This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6C0A4ACD-5BF6-4E54-A546-2F37DDBA3C31}" name="Animais_de_estimação47131" displayName="Animais_de_estimação47131" ref="A47:D53" totalsRowCount="1">
  <tableColumns count="4">
    <tableColumn id="1" xr3:uid="{BF79DC02-2807-4A65-9643-88D2ED12A735}" name="ANIMAIS DE ESTIMAÇÃO" totalsRowLabel="Subtotal"/>
    <tableColumn id="2" xr3:uid="{052F4517-4AF7-46D9-9779-038A64A94AA9}" name="Custo previsto" dataDxfId="239" totalsRowDxfId="240"/>
    <tableColumn id="3" xr3:uid="{9319E02F-F709-4659-B081-7631B81185C1}" name="Custo Real" dataDxfId="237" totalsRowDxfId="238"/>
    <tableColumn id="4" xr3:uid="{A44C23F2-ACAE-402E-8895-078D8E39251A}" name="Diferença" totalsRowFunction="sum" dataDxfId="235" totalsRowDxfId="236">
      <calculatedColumnFormula>Animais_de_estimação47131[[#This Row],[Custo previsto]]-Animais_de_estimação47131[[#This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CFC77B07-906D-43B2-91A7-9A0BF5BF63BF}" name="Assessoria_jurídica48132" displayName="Assessoria_jurídica48132" ref="F51:I56" totalsRowCount="1" headerRowCellStyle="Normal">
  <tableColumns count="4">
    <tableColumn id="1" xr3:uid="{25B7886E-F347-42BC-9A4B-1D058C1E7443}" name="ASSESSORIA JURÍDICA" totalsRowLabel="Subtotal"/>
    <tableColumn id="2" xr3:uid="{4A5872B6-020F-405F-80B4-6F59FC12BC5C}" name="Custo previsto" dataDxfId="233" totalsRowDxfId="234"/>
    <tableColumn id="3" xr3:uid="{5B6B87AE-5E51-4431-99D4-4B71D99BC640}" name="Custo Real" dataDxfId="231" totalsRowDxfId="232"/>
    <tableColumn id="4" xr3:uid="{0D20F93B-4DB4-49DA-91AD-9D6BF19F0C70}" name="Diferença" totalsRowFunction="sum" dataDxfId="229" totalsRowDxfId="230">
      <calculatedColumnFormula>Assessoria_jurídica48132[[#This Row],[Custo previsto]]-Assessoria_jurídica48132[[#This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CuidadosPessoais" displayName="CuidadosPessoais" ref="A55:D63" totalsRowCount="1">
  <autoFilter ref="A55:D62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CUIDADOS PESSOAIS" totalsRowLabel="Subtotal"/>
    <tableColumn id="2" xr3:uid="{00000000-0010-0000-0B00-000002000000}" name="Custo previsto" dataDxfId="825"/>
    <tableColumn id="3" xr3:uid="{00000000-0010-0000-0B00-000003000000}" name="Custo Real" dataDxfId="824"/>
    <tableColumn id="4" xr3:uid="{00000000-0010-0000-0B00-000004000000}" name="Diferença" totalsRowFunction="sum" dataDxfId="823">
      <calculatedColumnFormula>CuidadosPessoais[[#This Row],[Custo previsto]]-CuidadosPessoais[[#This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C01D8ED7-F295-4E0D-9A6B-329FAAF8CA44}" name="CuidadosPessoais49133" displayName="CuidadosPessoais49133" ref="A55:D63" totalsRowCount="1">
  <autoFilter ref="A55:D62" xr:uid="{C01D8ED7-F295-4E0D-9A6B-329FAAF8CA44}"/>
  <tableColumns count="4">
    <tableColumn id="1" xr3:uid="{FFFD9CFB-C4B8-4FE2-8947-FE7778BACC32}" name="CUIDADOS PESSOAIS" totalsRowLabel="Subtotal"/>
    <tableColumn id="2" xr3:uid="{7CF9A2E4-A2F8-4110-9FC2-F1C2F297587B}" name="Custo previsto" dataDxfId="228"/>
    <tableColumn id="3" xr3:uid="{7724F3BF-E002-4CAB-A0FC-1DACE6119186}" name="Custo Real" dataDxfId="227"/>
    <tableColumn id="4" xr3:uid="{EC3F15B1-20E6-4A68-BBA7-8BCB9B62F74E}" name="Diferença" totalsRowFunction="sum" dataDxfId="226">
      <calculatedColumnFormula>CuidadosPessoais49133[[#This Row],[Custo previsto]]-CuidadosPessoais49133[[#This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43248A9D-83D1-488B-ACAB-5575726A191B}" name="Moradia38134" displayName="Moradia38134" ref="A11:D22" totalsRowCount="1">
  <autoFilter ref="A11:D21" xr:uid="{43248A9D-83D1-488B-ACAB-5575726A191B}"/>
  <tableColumns count="4">
    <tableColumn id="1" xr3:uid="{B8EF69BC-F7D8-46A4-9414-331C960D375C}" name="MORADIA" totalsRowLabel="Subtotal"/>
    <tableColumn id="2" xr3:uid="{AFCCB776-564A-4882-B5FE-A1A9D23DF77E}" name="Custo previsto" dataDxfId="225"/>
    <tableColumn id="3" xr3:uid="{E50B63B2-B607-408E-BA06-BFE968B58E2C}" name="Custo Real" dataDxfId="224"/>
    <tableColumn id="4" xr3:uid="{A595BB46-76D8-4C50-BCAE-CFFC1B4E2958}" name="Diferença" totalsRowFunction="sum" dataDxfId="223">
      <calculatedColumnFormula>Moradia38134[[#This Row],[Custo previsto]]-Moradia38134[[#This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022D7E70-EB24-44A3-AF32-C3824F9B9897}" name="Entretenimento39135" displayName="Entretenimento39135" ref="F11:I21" totalsRowCount="1" headerRowCellStyle="Normal">
  <autoFilter ref="F11:I20" xr:uid="{022D7E70-EB24-44A3-AF32-C3824F9B9897}"/>
  <tableColumns count="4">
    <tableColumn id="1" xr3:uid="{7BF5DAC3-1D49-4F69-B273-79D7A5076E8C}" name="ENTRETENIMENTO" totalsRowLabel="Subtotal"/>
    <tableColumn id="2" xr3:uid="{54D6A2D5-48AF-4786-8CE5-27C7B25C883E}" name="Custo previsto" dataDxfId="221" totalsRowDxfId="222"/>
    <tableColumn id="3" xr3:uid="{357353B5-35CB-4F87-AAB0-C4834FF61A4F}" name="Custo Real" dataDxfId="219" totalsRowDxfId="220"/>
    <tableColumn id="4" xr3:uid="{1CBC62D4-AED2-49B5-9672-7E0E1684B1AB}" name="Diferença" totalsRowFunction="sum" dataDxfId="217" totalsRowDxfId="218">
      <calculatedColumnFormula>Entretenimento39135[[#This Row],[Custo previsto]]-Entretenimento39135[[#This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57F66265-3E68-4A32-A81B-3F91DA36ED46}" name="Empréstimos40136" displayName="Empréstimos40136" ref="F23:I30" totalsRowCount="1">
  <autoFilter ref="F23:I29" xr:uid="{57F66265-3E68-4A32-A81B-3F91DA36ED46}"/>
  <tableColumns count="4">
    <tableColumn id="1" xr3:uid="{6829A1D1-6F52-4C4C-87CA-0413F61140C5}" name="EMPRÉSTIMOS" totalsRowLabel="Subtotal"/>
    <tableColumn id="2" xr3:uid="{AFB5BC63-8E8A-4177-AFE4-23271F001654}" name="Custo previsto" dataDxfId="215" totalsRowDxfId="216"/>
    <tableColumn id="3" xr3:uid="{ACDEFFDC-BEEA-4435-9850-70402BA26F2A}" name="Custo Real" dataDxfId="213" totalsRowDxfId="214"/>
    <tableColumn id="4" xr3:uid="{B86A107A-C366-4355-A071-FCF0165ED8E6}" name="Diferença" totalsRowFunction="sum" dataDxfId="211" totalsRowDxfId="212">
      <calculatedColumnFormula>Empréstimos40136[[#This Row],[Custo previsto]]-Empréstimos40136[[#This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0625F979-80D9-4655-B67E-B2E40831655F}" name="Transporte41137" displayName="Transporte41137" ref="A24:D32" totalsRowCount="1" headerRowCellStyle="Normal">
  <autoFilter ref="A24:D31" xr:uid="{0625F979-80D9-4655-B67E-B2E40831655F}"/>
  <tableColumns count="4">
    <tableColumn id="1" xr3:uid="{03679516-E562-4F74-BB02-54A171EBA3F7}" name="TRANSPORTE" totalsRowLabel="Subtotal"/>
    <tableColumn id="2" xr3:uid="{D315F56A-1528-4FFA-81BF-1C2E8FD78C67}" name="Custo previsto" dataDxfId="209" totalsRowDxfId="210"/>
    <tableColumn id="3" xr3:uid="{63D4E03B-1FE1-4A83-A920-CA0B34B0279E}" name="Custo Real" dataDxfId="207" totalsRowDxfId="208"/>
    <tableColumn id="4" xr3:uid="{3E2CB312-B4A1-41E8-85B0-6091C5D3D367}" name="Diferença" totalsRowFunction="sum" dataDxfId="205" totalsRowDxfId="206">
      <calculatedColumnFormula>Transporte41137[[#This Row],[Custo previsto]]-Transporte41137[[#This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8B818B96-F761-428B-AEB3-D8896373ECAC}" name="Seguro42138" displayName="Seguro42138" ref="A34:D39" totalsRowCount="1" headerRowCellStyle="Normal">
  <autoFilter ref="A34:D38" xr:uid="{8B818B96-F761-428B-AEB3-D8896373ECAC}"/>
  <tableColumns count="4">
    <tableColumn id="1" xr3:uid="{E8F2DC83-D726-4E60-819B-3BA5D4F81055}" name="SEGURO" totalsRowLabel="Subtotal"/>
    <tableColumn id="2" xr3:uid="{4C7051C9-0EA1-4737-A25C-DA2E1DF388B6}" name="Custo previsto" dataDxfId="203" totalsRowDxfId="204"/>
    <tableColumn id="3" xr3:uid="{6B8EA6C1-1C25-4EC7-98FA-E5545AC1B53E}" name="Custo Real" dataDxfId="201" totalsRowDxfId="202"/>
    <tableColumn id="4" xr3:uid="{879FA1AB-3C3E-44B7-A58C-8659F56B424C}" name="Diferença" totalsRowFunction="sum" dataDxfId="199" totalsRowDxfId="200">
      <calculatedColumnFormula>Seguro42138[[#This Row],[Custo previsto]]-Seguro42138[[#This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58B04F2E-4FC8-4B98-8BEF-258F506F3F15}" name="Impostos43139" displayName="Impostos43139" ref="F32:I37" totalsRowCount="1" headerRowCellStyle="Normal">
  <autoFilter ref="F32:I36" xr:uid="{58B04F2E-4FC8-4B98-8BEF-258F506F3F15}"/>
  <tableColumns count="4">
    <tableColumn id="1" xr3:uid="{876EB97C-270B-420C-B435-891C99517B2C}" name="IMPOSTOS" totalsRowLabel="Subtotal"/>
    <tableColumn id="2" xr3:uid="{56790685-5923-4499-8B8D-629406CF477A}" name="Custo previsto" dataDxfId="197" totalsRowDxfId="198"/>
    <tableColumn id="3" xr3:uid="{DA85BC73-FC96-4236-A9BE-A5C4778E060B}" name="Custo Real" dataDxfId="195" totalsRowDxfId="196"/>
    <tableColumn id="4" xr3:uid="{B2663F51-5569-403A-9DC3-7C9F86626CB7}" name="Diferença" totalsRowFunction="sum" dataDxfId="193" totalsRowDxfId="194">
      <calculatedColumnFormula>Impostos43139[[#This Row],[Custo previsto]]-Impostos43139[[#This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47532274-EDF0-4BA3-A6AB-FA1B39096ABB}" name="Poupança44140" displayName="Poupança44140" ref="F39:I43" totalsRowCount="1" headerRowCellStyle="Normal">
  <autoFilter ref="F39:I42" xr:uid="{47532274-EDF0-4BA3-A6AB-FA1B39096ABB}"/>
  <tableColumns count="4">
    <tableColumn id="1" xr3:uid="{7D6CE3B6-DB17-42B0-BBA7-E84A2E1D207B}" name="POUPANÇAS OU INVESTIMENTOS" totalsRowLabel="Subtotal"/>
    <tableColumn id="2" xr3:uid="{6C180BE2-9CFE-44DA-AE10-C7AE17F89BB4}" name="Custo previsto" dataDxfId="191" totalsRowDxfId="192"/>
    <tableColumn id="3" xr3:uid="{05B29D97-1B5C-4557-AF9E-836A549ACFCA}" name="Custo Real" dataDxfId="189" totalsRowDxfId="190"/>
    <tableColumn id="4" xr3:uid="{6F73B6B4-E009-4B8A-A433-51BBD6798661}" name="Diferença" totalsRowFunction="sum" dataDxfId="187" totalsRowDxfId="188">
      <calculatedColumnFormula>Poupança44140[[#This Row],[Custo previsto]]-Poupança44140[[#This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B4FBE12F-2BC5-4E72-85D2-62BB60720079}" name="Alimentação45141" displayName="Alimentação45141" ref="A41:D45" totalsRowCount="1" headerRowCellStyle="Normal">
  <autoFilter ref="A41:D44" xr:uid="{B4FBE12F-2BC5-4E72-85D2-62BB60720079}"/>
  <tableColumns count="4">
    <tableColumn id="1" xr3:uid="{E6213061-3D7C-4E1B-B94A-EF0CCC85C957}" name="ALIMENTAÇÃO" totalsRowLabel="Subtotal"/>
    <tableColumn id="2" xr3:uid="{3AA73B9D-63B5-42F8-B1F3-E6DAD1C7E733}" name="Custo previsto" dataDxfId="185" totalsRowDxfId="186"/>
    <tableColumn id="3" xr3:uid="{B779DA47-80EE-494B-B022-BE88AA91C76E}" name="Custo Real" dataDxfId="183" totalsRowDxfId="184"/>
    <tableColumn id="4" xr3:uid="{AB25CD4D-8488-4B0D-ACDD-894D1A93327A}" name="Diferença" totalsRowFunction="sum" dataDxfId="181" totalsRowDxfId="182">
      <calculatedColumnFormula>Alimentação45141[[#This Row],[Custo previsto]]-Alimentação45141[[#This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41196448-5295-47E2-8D13-F8167987C05A}" name="Presentes46142" displayName="Presentes46142" ref="F45:I49" totalsRowCount="1" headerRowCellStyle="Normal">
  <autoFilter ref="F45:I48" xr:uid="{41196448-5295-47E2-8D13-F8167987C05A}"/>
  <tableColumns count="4">
    <tableColumn id="1" xr3:uid="{C8F8149E-F1F3-402D-A785-32EB90E04B30}" name="PRESENTES E DOAÇÕES" totalsRowLabel="Subtotal"/>
    <tableColumn id="2" xr3:uid="{C0696DCB-5D99-4F28-86D4-7C1321CE26E3}" name="Custo previsto" dataDxfId="179" totalsRowDxfId="180"/>
    <tableColumn id="3" xr3:uid="{8F216DEE-A132-445E-8E2E-23CD20EB31CE}" name="Custo Real" dataDxfId="177" totalsRowDxfId="178"/>
    <tableColumn id="4" xr3:uid="{D373AE91-D701-4078-AA10-E4FDDC83A2DD}" name="Diferença" totalsRowFunction="sum" dataDxfId="175" totalsRowDxfId="176">
      <calculatedColumnFormula>Presentes46142[[#This Row],[Custo previsto]]-Presentes46142[[#This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E3E4D95-9D11-40C2-95EE-DE9CE80B3714}" name="Moradia14" displayName="Moradia14" ref="A11:D22" totalsRowCount="1">
  <autoFilter ref="A11:D21" xr:uid="{4E3E4D95-9D11-40C2-95EE-DE9CE80B3714}"/>
  <tableColumns count="4">
    <tableColumn id="1" xr3:uid="{62EABB73-CCA0-40AD-8018-F6CEC1FB94D5}" name="MORADIA" totalsRowLabel="Subtotal"/>
    <tableColumn id="2" xr3:uid="{D2C8535E-5595-4FD3-8D91-765AA201F9E3}" name="Custo previsto" dataDxfId="819"/>
    <tableColumn id="3" xr3:uid="{F99BF374-0EFF-40E4-9DB0-0AB6ABE807C9}" name="Custo Real" dataDxfId="818"/>
    <tableColumn id="4" xr3:uid="{73C06825-9A43-4D2F-821C-A04BB9FE0374}" name="Diferença" totalsRowFunction="sum" dataDxfId="817">
      <calculatedColumnFormula>Moradia14[[#This Row],[Custo previsto]]-Moradia14[[#This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8A5D1A2F-4D15-4F3F-A1E7-F909682C111A}" name="Animais_de_estimação47143" displayName="Animais_de_estimação47143" ref="A47:D53" totalsRowCount="1">
  <tableColumns count="4">
    <tableColumn id="1" xr3:uid="{89D2B1F6-17A4-4A9E-9310-9578958F27D3}" name="ANIMAIS DE ESTIMAÇÃO" totalsRowLabel="Subtotal"/>
    <tableColumn id="2" xr3:uid="{FF3233A1-0CCF-45DC-B430-649D1A31C304}" name="Custo previsto" dataDxfId="173" totalsRowDxfId="174"/>
    <tableColumn id="3" xr3:uid="{D9980E31-31AD-4F1C-AA1F-F54ADF827AF3}" name="Custo Real" dataDxfId="171" totalsRowDxfId="172"/>
    <tableColumn id="4" xr3:uid="{97ABB200-B841-4749-9727-5D1180683400}" name="Diferença" totalsRowFunction="sum" dataDxfId="169" totalsRowDxfId="170">
      <calculatedColumnFormula>Animais_de_estimação47143[[#This Row],[Custo previsto]]-Animais_de_estimação47143[[#This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B57B7F3B-1CF6-41E5-B835-DBC9F0A6F34F}" name="Assessoria_jurídica48144" displayName="Assessoria_jurídica48144" ref="F51:I56" totalsRowCount="1" headerRowCellStyle="Normal">
  <tableColumns count="4">
    <tableColumn id="1" xr3:uid="{14EDACEE-E665-4A40-829E-0C128FDF2A3F}" name="ASSESSORIA JURÍDICA" totalsRowLabel="Subtotal"/>
    <tableColumn id="2" xr3:uid="{B2A05858-9928-4751-8AC5-B637A40E7600}" name="Custo previsto" dataDxfId="167" totalsRowDxfId="168"/>
    <tableColumn id="3" xr3:uid="{0DF5DC12-888B-4C05-97AE-370DF7356346}" name="Custo Real" dataDxfId="165" totalsRowDxfId="166"/>
    <tableColumn id="4" xr3:uid="{4573D0CD-0DD2-49D8-B1FD-D943335A4BB4}" name="Diferença" totalsRowFunction="sum" dataDxfId="163" totalsRowDxfId="164">
      <calculatedColumnFormula>Assessoria_jurídica48144[[#This Row],[Custo previsto]]-Assessoria_jurídica48144[[#This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3D5CF60B-F061-4525-AED3-A19B489CFD61}" name="CuidadosPessoais49145" displayName="CuidadosPessoais49145" ref="A55:D63" totalsRowCount="1">
  <autoFilter ref="A55:D62" xr:uid="{3D5CF60B-F061-4525-AED3-A19B489CFD61}"/>
  <tableColumns count="4">
    <tableColumn id="1" xr3:uid="{CE7FD837-B2ED-4315-BAD0-8D113F12E3DA}" name="CUIDADOS PESSOAIS" totalsRowLabel="Subtotal"/>
    <tableColumn id="2" xr3:uid="{C3136C1B-0922-4AD6-AD35-221D3B1A31B7}" name="Custo previsto" dataDxfId="162"/>
    <tableColumn id="3" xr3:uid="{C7F4CAE9-5F29-4DAC-9485-CCF8A64D511A}" name="Custo Real" dataDxfId="161"/>
    <tableColumn id="4" xr3:uid="{3A32371D-A796-4E87-9B59-7C0AAEBF01A8}" name="Diferença" totalsRowFunction="sum" dataDxfId="160">
      <calculatedColumnFormula>CuidadosPessoais49145[[#This Row],[Custo previsto]]-CuidadosPessoais49145[[#This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6898EEE9-291C-4792-A6AE-A83B89D64511}" name="Moradia38146" displayName="Moradia38146" ref="A11:D22" totalsRowCount="1">
  <autoFilter ref="A11:D21" xr:uid="{6898EEE9-291C-4792-A6AE-A83B89D64511}"/>
  <tableColumns count="4">
    <tableColumn id="1" xr3:uid="{F866ACB2-17CB-42FC-AAE4-0E2AD3EC2E30}" name="MORADIA" totalsRowLabel="Subtotal"/>
    <tableColumn id="2" xr3:uid="{0862CE39-9BE5-47BE-83A8-2DD7B801687B}" name="Custo previsto" dataDxfId="159"/>
    <tableColumn id="3" xr3:uid="{F536525A-24BC-436A-8F09-C55324116709}" name="Custo Real" dataDxfId="158"/>
    <tableColumn id="4" xr3:uid="{5CA093CC-FF0D-42EC-9506-7609FBF4FFD6}" name="Diferença" totalsRowFunction="sum" dataDxfId="157">
      <calculatedColumnFormula>Moradia38146[[#This Row],[Custo previsto]]-Moradia38146[[#This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38452DFB-C801-4407-9127-E9A3FB9BEACA}" name="Entretenimento39147" displayName="Entretenimento39147" ref="F11:I21" totalsRowCount="1" headerRowCellStyle="Normal">
  <autoFilter ref="F11:I20" xr:uid="{38452DFB-C801-4407-9127-E9A3FB9BEACA}"/>
  <tableColumns count="4">
    <tableColumn id="1" xr3:uid="{06E650E5-0523-40C0-9E8F-1F25DBEC01EA}" name="ENTRETENIMENTO" totalsRowLabel="Subtotal"/>
    <tableColumn id="2" xr3:uid="{1ED04063-9305-49DC-A0D8-66C864C91922}" name="Custo previsto" dataDxfId="155" totalsRowDxfId="156"/>
    <tableColumn id="3" xr3:uid="{C6035E97-DDB3-4783-93EB-8F5F4791BB62}" name="Custo Real" dataDxfId="153" totalsRowDxfId="154"/>
    <tableColumn id="4" xr3:uid="{3ACE1245-88E3-4E72-8537-DA2A893A646E}" name="Diferença" totalsRowFunction="sum" dataDxfId="151" totalsRowDxfId="152">
      <calculatedColumnFormula>Entretenimento39147[[#This Row],[Custo previsto]]-Entretenimento39147[[#This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8EA37119-963D-4E40-8EA4-B75B12121FE2}" name="Empréstimos40148" displayName="Empréstimos40148" ref="F23:I30" totalsRowCount="1">
  <autoFilter ref="F23:I29" xr:uid="{8EA37119-963D-4E40-8EA4-B75B12121FE2}"/>
  <tableColumns count="4">
    <tableColumn id="1" xr3:uid="{00775681-FF40-484B-992E-9357EF16931C}" name="EMPRÉSTIMOS" totalsRowLabel="Subtotal"/>
    <tableColumn id="2" xr3:uid="{9B056429-0EC1-442E-8D4C-CF7D64BFDF21}" name="Custo previsto" dataDxfId="149" totalsRowDxfId="150"/>
    <tableColumn id="3" xr3:uid="{071C0A37-5151-4C85-814D-BFD185C0496F}" name="Custo Real" dataDxfId="147" totalsRowDxfId="148"/>
    <tableColumn id="4" xr3:uid="{31C60920-6A91-468C-9ADF-72BF754D0DB9}" name="Diferença" totalsRowFunction="sum" dataDxfId="145" totalsRowDxfId="146">
      <calculatedColumnFormula>Empréstimos40148[[#This Row],[Custo previsto]]-Empréstimos40148[[#This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460DFFB6-89FD-4B7C-851F-BAEEDE15BF3F}" name="Transporte41149" displayName="Transporte41149" ref="A24:D32" totalsRowCount="1" headerRowCellStyle="Normal">
  <autoFilter ref="A24:D31" xr:uid="{460DFFB6-89FD-4B7C-851F-BAEEDE15BF3F}"/>
  <tableColumns count="4">
    <tableColumn id="1" xr3:uid="{92FF9C49-DBD4-445A-8575-37102D112E8C}" name="TRANSPORTE" totalsRowLabel="Subtotal"/>
    <tableColumn id="2" xr3:uid="{A0507A4F-D94D-4A89-9A4C-8684375AE519}" name="Custo previsto" dataDxfId="143" totalsRowDxfId="144"/>
    <tableColumn id="3" xr3:uid="{9B84D40B-2038-4E3E-A0AD-BAFA5711BE98}" name="Custo Real" dataDxfId="141" totalsRowDxfId="142"/>
    <tableColumn id="4" xr3:uid="{B65E8FDC-12AA-405D-ABC4-D4F272F0C44F}" name="Diferença" totalsRowFunction="sum" dataDxfId="139" totalsRowDxfId="140">
      <calculatedColumnFormula>Transporte41149[[#This Row],[Custo previsto]]-Transporte41149[[#This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39E3A62E-8058-4C7E-B3A4-31A253ABB325}" name="Seguro42150" displayName="Seguro42150" ref="A34:D39" totalsRowCount="1" headerRowCellStyle="Normal">
  <autoFilter ref="A34:D38" xr:uid="{39E3A62E-8058-4C7E-B3A4-31A253ABB325}"/>
  <tableColumns count="4">
    <tableColumn id="1" xr3:uid="{DA29E450-4E9D-4829-A26D-FD124EAC69DB}" name="SEGURO" totalsRowLabel="Subtotal"/>
    <tableColumn id="2" xr3:uid="{AF3F6E86-80FA-49CF-BD01-EC56597B5B63}" name="Custo previsto" dataDxfId="137" totalsRowDxfId="138"/>
    <tableColumn id="3" xr3:uid="{21F83A5F-613F-4C74-B14B-43BFC52BE859}" name="Custo Real" dataDxfId="135" totalsRowDxfId="136"/>
    <tableColumn id="4" xr3:uid="{1C326C9B-A308-41B7-80D1-7AC8A1353EFE}" name="Diferença" totalsRowFunction="sum" dataDxfId="133" totalsRowDxfId="134">
      <calculatedColumnFormula>Seguro42150[[#This Row],[Custo previsto]]-Seguro42150[[#This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AAB06FE8-5D76-4AF4-9DD0-19801B927293}" name="Impostos43151" displayName="Impostos43151" ref="F32:I37" totalsRowCount="1" headerRowCellStyle="Normal">
  <autoFilter ref="F32:I36" xr:uid="{AAB06FE8-5D76-4AF4-9DD0-19801B927293}"/>
  <tableColumns count="4">
    <tableColumn id="1" xr3:uid="{06B2EA14-04DE-4492-9D9A-D90B613DD3D5}" name="IMPOSTOS" totalsRowLabel="Subtotal"/>
    <tableColumn id="2" xr3:uid="{6301CD4E-DAF3-45F3-BCB0-F684FB1B1975}" name="Custo previsto" dataDxfId="131" totalsRowDxfId="132"/>
    <tableColumn id="3" xr3:uid="{E2C534A5-3A8C-45EB-9115-7B319E2D6D1B}" name="Custo Real" dataDxfId="129" totalsRowDxfId="130"/>
    <tableColumn id="4" xr3:uid="{3BA2AE1A-33AD-4915-9382-B7BEA7BCB0D3}" name="Diferença" totalsRowFunction="sum" dataDxfId="127" totalsRowDxfId="128">
      <calculatedColumnFormula>Impostos43151[[#This Row],[Custo previsto]]-Impostos43151[[#This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73BDBBFA-89CD-4463-BF29-F46474AC303C}" name="Poupança44152" displayName="Poupança44152" ref="F39:I43" totalsRowCount="1" headerRowCellStyle="Normal">
  <autoFilter ref="F39:I42" xr:uid="{73BDBBFA-89CD-4463-BF29-F46474AC303C}"/>
  <tableColumns count="4">
    <tableColumn id="1" xr3:uid="{543049E1-282A-447F-B6BC-40FFADAD1FC5}" name="POUPANÇAS OU INVESTIMENTOS" totalsRowLabel="Subtotal"/>
    <tableColumn id="2" xr3:uid="{4DE333F4-2909-4C2D-9387-AF99633919C7}" name="Custo previsto" dataDxfId="125" totalsRowDxfId="126"/>
    <tableColumn id="3" xr3:uid="{FEB42533-E3B1-4891-A056-2B03EF00A340}" name="Custo Real" dataDxfId="123" totalsRowDxfId="124"/>
    <tableColumn id="4" xr3:uid="{81FDB389-2DBD-41B4-A422-0158F1517756}" name="Diferença" totalsRowFunction="sum" dataDxfId="121" totalsRowDxfId="122">
      <calculatedColumnFormula>Poupança44152[[#This Row],[Custo previsto]]-Poupança44152[[#This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46F8C93-80AB-4D4F-AF48-DD512E6E25A1}" name="Entretenimento15" displayName="Entretenimento15" ref="F11:I21" totalsRowCount="1" headerRowCellStyle="Normal">
  <autoFilter ref="F11:I20" xr:uid="{A46F8C93-80AB-4D4F-AF48-DD512E6E25A1}"/>
  <tableColumns count="4">
    <tableColumn id="1" xr3:uid="{7FF54104-45D0-4438-98C3-C5A3DDB8332A}" name="ENTRETENIMENTO" totalsRowLabel="Subtotal"/>
    <tableColumn id="2" xr3:uid="{96D7F843-4E67-45D1-AA31-31384F284805}" name="Custo previsto" dataDxfId="815" totalsRowDxfId="816"/>
    <tableColumn id="3" xr3:uid="{4838DC3F-7413-40E6-A9E5-78270E06A16D}" name="Custo Real" dataDxfId="813" totalsRowDxfId="814"/>
    <tableColumn id="4" xr3:uid="{81449092-456E-495E-9A0D-F2365D8BEA44}" name="Diferença" totalsRowFunction="sum" dataDxfId="811" totalsRowDxfId="812">
      <calculatedColumnFormula>Entretenimento15[[#This Row],[Custo previsto]]-Entretenimento15[[#This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789B7800-9826-4AB2-A284-FA639BA1AE52}" name="Alimentação45153" displayName="Alimentação45153" ref="A41:D45" totalsRowCount="1" headerRowCellStyle="Normal">
  <autoFilter ref="A41:D44" xr:uid="{789B7800-9826-4AB2-A284-FA639BA1AE52}"/>
  <tableColumns count="4">
    <tableColumn id="1" xr3:uid="{4518A75D-5924-4A5C-9CE1-D81142417CB9}" name="ALIMENTAÇÃO" totalsRowLabel="Subtotal"/>
    <tableColumn id="2" xr3:uid="{0017B8F2-A95B-4631-8B86-F6DAF9581136}" name="Custo previsto" dataDxfId="119" totalsRowDxfId="120"/>
    <tableColumn id="3" xr3:uid="{6EEF5DC8-7BD6-477E-879F-B0713DEC5310}" name="Custo Real" dataDxfId="117" totalsRowDxfId="118"/>
    <tableColumn id="4" xr3:uid="{1A6A814F-6A53-4C76-891E-66D79A63F37C}" name="Diferença" totalsRowFunction="sum" dataDxfId="115" totalsRowDxfId="116">
      <calculatedColumnFormula>Alimentação45153[[#This Row],[Custo previsto]]-Alimentação45153[[#This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EDB959F2-E6A7-4BE6-9FBF-29D650D3E65E}" name="Presentes46154" displayName="Presentes46154" ref="F45:I49" totalsRowCount="1" headerRowCellStyle="Normal">
  <autoFilter ref="F45:I48" xr:uid="{EDB959F2-E6A7-4BE6-9FBF-29D650D3E65E}"/>
  <tableColumns count="4">
    <tableColumn id="1" xr3:uid="{28206054-34EF-4CD4-90D2-FEA535D56D19}" name="PRESENTES E DOAÇÕES" totalsRowLabel="Subtotal"/>
    <tableColumn id="2" xr3:uid="{CFEC5E87-9208-4DA2-94E5-EF965D40B027}" name="Custo previsto" dataDxfId="113" totalsRowDxfId="114"/>
    <tableColumn id="3" xr3:uid="{5A54B3B0-2380-43EB-A48F-97321B8D46DC}" name="Custo Real" dataDxfId="111" totalsRowDxfId="112"/>
    <tableColumn id="4" xr3:uid="{6F08A32A-369D-4D1B-A985-751E3245E273}" name="Diferença" totalsRowFunction="sum" dataDxfId="109" totalsRowDxfId="110">
      <calculatedColumnFormula>Presentes46154[[#This Row],[Custo previsto]]-Presentes46154[[#This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89C782C4-3054-4F2A-A970-56D1D5EB39EA}" name="Animais_de_estimação47155" displayName="Animais_de_estimação47155" ref="A47:D53" totalsRowCount="1">
  <tableColumns count="4">
    <tableColumn id="1" xr3:uid="{7C231079-08CF-4332-93B5-BE0B85ABEEAC}" name="ANIMAIS DE ESTIMAÇÃO" totalsRowLabel="Subtotal"/>
    <tableColumn id="2" xr3:uid="{9A15FCA3-751B-4E67-9417-02B7373A3E51}" name="Custo previsto" dataDxfId="107" totalsRowDxfId="108"/>
    <tableColumn id="3" xr3:uid="{2C6FA3B3-8E09-4D81-A5DF-474F32DC5E0C}" name="Custo Real" dataDxfId="105" totalsRowDxfId="106"/>
    <tableColumn id="4" xr3:uid="{9B675CBB-3580-49D8-A947-23206D2CC97F}" name="Diferença" totalsRowFunction="sum" dataDxfId="103" totalsRowDxfId="104">
      <calculatedColumnFormula>Animais_de_estimação47155[[#This Row],[Custo previsto]]-Animais_de_estimação47155[[#This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3A2BC685-EC38-4282-9746-193D55DEB249}" name="Assessoria_jurídica48156" displayName="Assessoria_jurídica48156" ref="F51:I56" totalsRowCount="1" headerRowCellStyle="Normal">
  <tableColumns count="4">
    <tableColumn id="1" xr3:uid="{B56285AD-CC8E-4189-9938-1B70B78C5A02}" name="ASSESSORIA JURÍDICA" totalsRowLabel="Subtotal"/>
    <tableColumn id="2" xr3:uid="{02F9B2CD-D617-4ED9-B346-2B1F7B92AA06}" name="Custo previsto" dataDxfId="101" totalsRowDxfId="102"/>
    <tableColumn id="3" xr3:uid="{4A85E62C-17D0-466E-B704-D75B8AC9173E}" name="Custo Real" dataDxfId="99" totalsRowDxfId="100"/>
    <tableColumn id="4" xr3:uid="{962DC125-5A49-4C8E-BBD8-5D05E329A172}" name="Diferença" totalsRowFunction="sum" dataDxfId="97" totalsRowDxfId="98">
      <calculatedColumnFormula>Assessoria_jurídica48156[[#This Row],[Custo previsto]]-Assessoria_jurídica48156[[#This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5289E67C-2FD1-44B4-8F9B-086699F2BE88}" name="CuidadosPessoais49157" displayName="CuidadosPessoais49157" ref="A55:D63" totalsRowCount="1">
  <autoFilter ref="A55:D62" xr:uid="{5289E67C-2FD1-44B4-8F9B-086699F2BE88}"/>
  <tableColumns count="4">
    <tableColumn id="1" xr3:uid="{93CC1C8E-A34B-4CD1-BCB4-2F582DEF903E}" name="CUIDADOS PESSOAIS" totalsRowLabel="Subtotal"/>
    <tableColumn id="2" xr3:uid="{79E05899-9A70-4766-9C9E-B847EBFC18EC}" name="Custo previsto" dataDxfId="96"/>
    <tableColumn id="3" xr3:uid="{8724CF54-F999-42A1-97B4-B90EC0801963}" name="Custo Real" dataDxfId="95"/>
    <tableColumn id="4" xr3:uid="{2AE85C5D-9815-4CAC-96BB-AA8701BD44D2}" name="Diferença" totalsRowFunction="sum" dataDxfId="94">
      <calculatedColumnFormula>CuidadosPessoais49157[[#This Row],[Custo previsto]]-CuidadosPessoais49157[[#This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426FED48-8DC4-4FD8-A84F-C42866E2766E}" name="Moradia38158" displayName="Moradia38158" ref="A11:D22" totalsRowCount="1">
  <autoFilter ref="A11:D21" xr:uid="{426FED48-8DC4-4FD8-A84F-C42866E2766E}"/>
  <tableColumns count="4">
    <tableColumn id="1" xr3:uid="{3621D9EB-DC5B-4821-B1BB-D0BCA472F628}" name="MORADIA" totalsRowLabel="Subtotal"/>
    <tableColumn id="2" xr3:uid="{6497F3A0-B881-498B-8612-C0BB97EAFDA9}" name="Custo previsto" dataDxfId="93"/>
    <tableColumn id="3" xr3:uid="{5C98CDCE-8F35-409A-8EE4-7A1B626233A5}" name="Custo Real" dataDxfId="92"/>
    <tableColumn id="4" xr3:uid="{D1647CC7-3202-4C25-95E4-D322C3A9642A}" name="Diferença" totalsRowFunction="sum" dataDxfId="91">
      <calculatedColumnFormula>Moradia38158[[#This Row],[Custo previsto]]-Moradia38158[[#This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1AD13B7E-CEB2-4EFE-969B-CD18C047CFBA}" name="Entretenimento39159" displayName="Entretenimento39159" ref="F11:I21" totalsRowCount="1" headerRowCellStyle="Normal">
  <autoFilter ref="F11:I20" xr:uid="{1AD13B7E-CEB2-4EFE-969B-CD18C047CFBA}"/>
  <tableColumns count="4">
    <tableColumn id="1" xr3:uid="{47B55640-531D-4DEB-9B42-A41494FD2827}" name="ENTRETENIMENTO" totalsRowLabel="Subtotal"/>
    <tableColumn id="2" xr3:uid="{A3A8990D-21A1-45CF-B005-A2D7C1CD2566}" name="Custo previsto" dataDxfId="89" totalsRowDxfId="90"/>
    <tableColumn id="3" xr3:uid="{80376A2E-F2B7-45C4-B12E-853E8310F14E}" name="Custo Real" dataDxfId="87" totalsRowDxfId="88"/>
    <tableColumn id="4" xr3:uid="{721032B9-BF0D-4459-86DE-C38DF6D6DA6F}" name="Diferença" totalsRowFunction="sum" dataDxfId="85" totalsRowDxfId="86">
      <calculatedColumnFormula>Entretenimento39159[[#This Row],[Custo previsto]]-Entretenimento39159[[#This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3D45F136-3C86-43C8-8FA5-24E77B8948A9}" name="Empréstimos40160" displayName="Empréstimos40160" ref="F23:I30" totalsRowCount="1">
  <autoFilter ref="F23:I29" xr:uid="{3D45F136-3C86-43C8-8FA5-24E77B8948A9}"/>
  <tableColumns count="4">
    <tableColumn id="1" xr3:uid="{7816E9B3-C0B1-456E-8674-46DFB89C63C2}" name="EMPRÉSTIMOS" totalsRowLabel="Subtotal"/>
    <tableColumn id="2" xr3:uid="{17F04B10-F524-403C-90E1-4E8A421CF014}" name="Custo previsto" dataDxfId="83" totalsRowDxfId="84"/>
    <tableColumn id="3" xr3:uid="{E14A0F7D-9FFF-49B2-90B0-C2F36DD6D676}" name="Custo Real" dataDxfId="81" totalsRowDxfId="82"/>
    <tableColumn id="4" xr3:uid="{256788C3-F5AD-449C-BCD4-CDD311548AAB}" name="Diferença" totalsRowFunction="sum" dataDxfId="79" totalsRowDxfId="80">
      <calculatedColumnFormula>Empréstimos40160[[#This Row],[Custo previsto]]-Empréstimos40160[[#This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C5B89E09-93C2-4626-9640-B48BCB2DAE40}" name="Transporte41161" displayName="Transporte41161" ref="A24:D32" totalsRowCount="1" headerRowCellStyle="Normal">
  <autoFilter ref="A24:D31" xr:uid="{C5B89E09-93C2-4626-9640-B48BCB2DAE40}"/>
  <tableColumns count="4">
    <tableColumn id="1" xr3:uid="{292846B3-36B6-4F37-9DE8-E87A650A97FE}" name="TRANSPORTE" totalsRowLabel="Subtotal"/>
    <tableColumn id="2" xr3:uid="{A9BE9623-1541-4B3B-B3A1-5FF03BFA530E}" name="Custo previsto" dataDxfId="77" totalsRowDxfId="78"/>
    <tableColumn id="3" xr3:uid="{AEB0D693-CDDD-428A-87DD-F89C320316A8}" name="Custo Real" dataDxfId="75" totalsRowDxfId="76"/>
    <tableColumn id="4" xr3:uid="{9CEB3C51-9275-4F55-A097-EC4B72F81C99}" name="Diferença" totalsRowFunction="sum" dataDxfId="73" totalsRowDxfId="74">
      <calculatedColumnFormula>Transporte41161[[#This Row],[Custo previsto]]-Transporte41161[[#This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FD333D24-33A1-4005-BBCA-88A1BF7623DB}" name="Seguro42162" displayName="Seguro42162" ref="A34:D39" totalsRowCount="1" headerRowCellStyle="Normal">
  <autoFilter ref="A34:D38" xr:uid="{FD333D24-33A1-4005-BBCA-88A1BF7623DB}"/>
  <tableColumns count="4">
    <tableColumn id="1" xr3:uid="{E9E9AFAE-E003-42A5-8BA9-4F9C90BC2AA9}" name="SEGURO" totalsRowLabel="Subtotal"/>
    <tableColumn id="2" xr3:uid="{EFFBFDC3-2C9D-4379-BE21-469CFFBCCA54}" name="Custo previsto" dataDxfId="71" totalsRowDxfId="72"/>
    <tableColumn id="3" xr3:uid="{2FB0F7AA-A6C6-4BA0-8063-F3AB4FB1B296}" name="Custo Real" dataDxfId="69" totalsRowDxfId="70"/>
    <tableColumn id="4" xr3:uid="{70B09248-9279-4B60-8A77-804F53AD3651}" name="Diferença" totalsRowFunction="sum" dataDxfId="67" totalsRowDxfId="68">
      <calculatedColumnFormula>Seguro42162[[#This Row],[Custo previsto]]-Seguro42162[[#This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9D65384-8C0B-4278-A7EC-E4B26E2581E1}" name="Empréstimos16" displayName="Empréstimos16" ref="F23:I30" totalsRowCount="1">
  <autoFilter ref="F23:I29" xr:uid="{29D65384-8C0B-4278-A7EC-E4B26E2581E1}"/>
  <tableColumns count="4">
    <tableColumn id="1" xr3:uid="{A8DD34E0-0B39-48FC-8F0F-A84355CA8048}" name="EMPRÉSTIMOS" totalsRowLabel="Subtotal"/>
    <tableColumn id="2" xr3:uid="{6872B8CA-7336-4B91-B739-5041A74DA277}" name="Custo previsto" dataDxfId="809" totalsRowDxfId="810"/>
    <tableColumn id="3" xr3:uid="{76DFEE17-0F9C-4EA3-9E9D-8F52EC33146A}" name="Custo Real" dataDxfId="807" totalsRowDxfId="808"/>
    <tableColumn id="4" xr3:uid="{E5834695-7AC5-462F-B901-7FB1BBE9A9DC}" name="Diferença" totalsRowFunction="sum" dataDxfId="805" totalsRowDxfId="806">
      <calculatedColumnFormula>Empréstimos16[[#This Row],[Custo previsto]]-Empréstimos16[[#This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A773162B-1DB4-4B01-A0CF-A15643BF9AAF}" name="Impostos43163" displayName="Impostos43163" ref="F32:I37" totalsRowCount="1" headerRowCellStyle="Normal">
  <autoFilter ref="F32:I36" xr:uid="{A773162B-1DB4-4B01-A0CF-A15643BF9AAF}"/>
  <tableColumns count="4">
    <tableColumn id="1" xr3:uid="{8C03902B-5552-412D-922E-5DA8BFAB73D0}" name="IMPOSTOS" totalsRowLabel="Subtotal"/>
    <tableColumn id="2" xr3:uid="{B9432702-EF35-4099-9472-D59C163AE1D2}" name="Custo previsto" dataDxfId="65" totalsRowDxfId="66"/>
    <tableColumn id="3" xr3:uid="{B5B4D858-6300-461D-8F01-F063B5A704F6}" name="Custo Real" dataDxfId="63" totalsRowDxfId="64"/>
    <tableColumn id="4" xr3:uid="{305FC16B-B3B8-4461-802E-53D3FFD53035}" name="Diferença" totalsRowFunction="sum" dataDxfId="61" totalsRowDxfId="62">
      <calculatedColumnFormula>Impostos43163[[#This Row],[Custo previsto]]-Impostos43163[[#This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1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9D62773F-4098-4F96-82AF-ED4AC2416533}" name="Poupança44164" displayName="Poupança44164" ref="F39:I43" totalsRowCount="1" headerRowCellStyle="Normal">
  <autoFilter ref="F39:I42" xr:uid="{9D62773F-4098-4F96-82AF-ED4AC2416533}"/>
  <tableColumns count="4">
    <tableColumn id="1" xr3:uid="{A6C14B9E-C7C8-4012-87B2-6FF27E11882B}" name="POUPANÇAS OU INVESTIMENTOS" totalsRowLabel="Subtotal"/>
    <tableColumn id="2" xr3:uid="{EF734624-9B27-4A9F-AD27-A3A9DC663B1F}" name="Custo previsto" dataDxfId="59" totalsRowDxfId="60"/>
    <tableColumn id="3" xr3:uid="{86D04E0A-3907-41C0-A6BE-E4C6E53AF70F}" name="Custo Real" dataDxfId="57" totalsRowDxfId="58"/>
    <tableColumn id="4" xr3:uid="{6E83331B-AF8D-4ABD-AADA-FE3825170E10}" name="Diferença" totalsRowFunction="sum" dataDxfId="55" totalsRowDxfId="56">
      <calculatedColumnFormula>Poupança44164[[#This Row],[Custo previsto]]-Poupança44164[[#This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1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A5FD41A3-E9CE-4C68-9000-25E51B4B93AC}" name="Alimentação45165" displayName="Alimentação45165" ref="A41:D45" totalsRowCount="1" headerRowCellStyle="Normal">
  <autoFilter ref="A41:D44" xr:uid="{A5FD41A3-E9CE-4C68-9000-25E51B4B93AC}"/>
  <tableColumns count="4">
    <tableColumn id="1" xr3:uid="{0CBFC158-2E94-46DE-95A4-FA4527541AE2}" name="ALIMENTAÇÃO" totalsRowLabel="Subtotal"/>
    <tableColumn id="2" xr3:uid="{261A8652-C5A8-40C1-8220-768D6F690D4D}" name="Custo previsto" dataDxfId="53" totalsRowDxfId="54"/>
    <tableColumn id="3" xr3:uid="{010A199A-F662-4CC2-8525-20C74BE32915}" name="Custo Real" dataDxfId="51" totalsRowDxfId="52"/>
    <tableColumn id="4" xr3:uid="{47ABAD31-95C5-4475-849A-18B6185DFBC1}" name="Diferença" totalsRowFunction="sum" dataDxfId="49" totalsRowDxfId="50">
      <calculatedColumnFormula>Alimentação45165[[#This Row],[Custo previsto]]-Alimentação45165[[#This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1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4EA93959-5BF3-4F1F-89F2-FAFA7C4FFDBF}" name="Presentes46166" displayName="Presentes46166" ref="F45:I49" totalsRowCount="1" headerRowCellStyle="Normal">
  <autoFilter ref="F45:I48" xr:uid="{4EA93959-5BF3-4F1F-89F2-FAFA7C4FFDBF}"/>
  <tableColumns count="4">
    <tableColumn id="1" xr3:uid="{A3AC6315-5494-4423-90B7-1F1D39D82693}" name="PRESENTES E DOAÇÕES" totalsRowLabel="Subtotal"/>
    <tableColumn id="2" xr3:uid="{D47F1737-BE1C-4B41-B4CA-A685656B1320}" name="Custo previsto" dataDxfId="47" totalsRowDxfId="48"/>
    <tableColumn id="3" xr3:uid="{03FC84FB-0E26-4A73-995C-5E2DAEBBC8DB}" name="Custo Real" dataDxfId="45" totalsRowDxfId="46"/>
    <tableColumn id="4" xr3:uid="{8740CB35-FEA0-4B4B-AA5F-852DC903A2AC}" name="Diferença" totalsRowFunction="sum" dataDxfId="43" totalsRowDxfId="44">
      <calculatedColumnFormula>Presentes46166[[#This Row],[Custo previsto]]-Presentes46166[[#This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1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88DC937D-F61E-45C1-B5C9-09E456986874}" name="Animais_de_estimação47167" displayName="Animais_de_estimação47167" ref="A47:D53" totalsRowCount="1">
  <tableColumns count="4">
    <tableColumn id="1" xr3:uid="{EA266BDC-D615-483C-86D7-1779485A5B1E}" name="ANIMAIS DE ESTIMAÇÃO" totalsRowLabel="Subtotal"/>
    <tableColumn id="2" xr3:uid="{A8CDCEB0-C501-480B-84A1-F8797A7E4CC9}" name="Custo previsto" dataDxfId="41" totalsRowDxfId="42"/>
    <tableColumn id="3" xr3:uid="{A13440A4-4115-4338-B38A-246C133F876A}" name="Custo Real" dataDxfId="39" totalsRowDxfId="40"/>
    <tableColumn id="4" xr3:uid="{6A6B239F-A22E-4150-8F19-1A4730D48C2F}" name="Diferença" totalsRowFunction="sum" dataDxfId="37" totalsRowDxfId="38">
      <calculatedColumnFormula>Animais_de_estimação47167[[#This Row],[Custo previsto]]-Animais_de_estimação47167[[#This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1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2DD1045A-EBDD-4ED4-83D7-12F66607500B}" name="Assessoria_jurídica48168" displayName="Assessoria_jurídica48168" ref="F51:I56" totalsRowCount="1" headerRowCellStyle="Normal">
  <tableColumns count="4">
    <tableColumn id="1" xr3:uid="{48F7D0DC-832A-4048-8978-2E38E8B65A0B}" name="ASSESSORIA JURÍDICA" totalsRowLabel="Subtotal"/>
    <tableColumn id="2" xr3:uid="{F08DE8F0-B8B7-4902-9EB0-9B07605841E2}" name="Custo previsto" dataDxfId="35" totalsRowDxfId="36"/>
    <tableColumn id="3" xr3:uid="{9C3ACA88-6A1B-45BC-B323-38C5F8313955}" name="Custo Real" dataDxfId="33" totalsRowDxfId="34"/>
    <tableColumn id="4" xr3:uid="{0466174F-DC6B-4049-9E99-FF3BA0F5EAFB}" name="Diferença" totalsRowFunction="sum" dataDxfId="31" totalsRowDxfId="32">
      <calculatedColumnFormula>Assessoria_jurídica48168[[#This Row],[Custo previsto]]-Assessoria_jurídica48168[[#This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1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4FEAC7DC-5A54-4519-BDB9-3D7DDA34BB6A}" name="CuidadosPessoais49169" displayName="CuidadosPessoais49169" ref="A55:D63" totalsRowCount="1">
  <autoFilter ref="A55:D62" xr:uid="{4FEAC7DC-5A54-4519-BDB9-3D7DDA34BB6A}"/>
  <tableColumns count="4">
    <tableColumn id="1" xr3:uid="{8C1F7662-98B0-4D2C-9469-12CEA9336FCE}" name="CUIDADOS PESSOAIS" totalsRowLabel="Subtotal"/>
    <tableColumn id="2" xr3:uid="{A1208E6C-9D14-437E-B750-EC05E0C04B03}" name="Custo previsto" dataDxfId="30"/>
    <tableColumn id="3" xr3:uid="{D9A95918-B24A-4D30-B3B1-2705247F49AA}" name="Custo Real" dataDxfId="29"/>
    <tableColumn id="4" xr3:uid="{71D94E25-7F70-4FCB-97A0-B313CC017E2D}" name="Diferença" totalsRowFunction="sum" dataDxfId="28">
      <calculatedColumnFormula>CuidadosPessoais49169[[#This Row],[Custo previsto]]-CuidadosPessoais49169[[#This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8FC55A7-E436-4FA1-AB03-35FD8C90E8A0}" name="Transporte17" displayName="Transporte17" ref="A24:D32" totalsRowCount="1" headerRowCellStyle="Normal">
  <autoFilter ref="A24:D31" xr:uid="{F8FC55A7-E436-4FA1-AB03-35FD8C90E8A0}"/>
  <tableColumns count="4">
    <tableColumn id="1" xr3:uid="{9DC628AC-FEAB-428F-902B-EB631B301F25}" name="TRANSPORTE" totalsRowLabel="Subtotal"/>
    <tableColumn id="2" xr3:uid="{7C6A9163-6F06-4051-AA81-40C294498E0E}" name="Custo previsto" dataDxfId="803" totalsRowDxfId="804"/>
    <tableColumn id="3" xr3:uid="{A57114E0-60DF-4A0E-BC24-3BB31A6C02C6}" name="Custo Real" dataDxfId="801" totalsRowDxfId="802"/>
    <tableColumn id="4" xr3:uid="{BDE0B444-0F5B-4361-9ABF-1F9DA2EA485E}" name="Diferença" totalsRowFunction="sum" dataDxfId="799" totalsRowDxfId="800">
      <calculatedColumnFormula>Transporte17[[#This Row],[Custo previsto]]-Transporte17[[#This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B231532-1599-4303-9FE6-3715BE4A60E2}" name="Seguro18" displayName="Seguro18" ref="A34:D39" totalsRowCount="1" headerRowCellStyle="Normal">
  <autoFilter ref="A34:D38" xr:uid="{BB231532-1599-4303-9FE6-3715BE4A60E2}"/>
  <tableColumns count="4">
    <tableColumn id="1" xr3:uid="{C97726B4-4A95-4A63-A5C3-DF8EF918F353}" name="SEGURO" totalsRowLabel="Subtotal"/>
    <tableColumn id="2" xr3:uid="{407F848B-A254-4DC0-9DAE-6DB2E4E3529D}" name="Custo previsto" dataDxfId="797" totalsRowDxfId="798"/>
    <tableColumn id="3" xr3:uid="{C3F2EFB0-59DA-4519-AE16-0F3FECA6BDAC}" name="Custo Real" dataDxfId="795" totalsRowDxfId="796"/>
    <tableColumn id="4" xr3:uid="{105C1AB8-2048-4180-9DA3-9F0DAEA57699}" name="Diferença" totalsRowFunction="sum" dataDxfId="793" totalsRowDxfId="794">
      <calculatedColumnFormula>Seguro18[[#This Row],[Custo previsto]]-Seguro18[[#This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F0F1EEF-5D33-4417-BEFD-6AE2D799A49D}" name="Impostos19" displayName="Impostos19" ref="F32:I37" totalsRowCount="1" headerRowCellStyle="Normal">
  <autoFilter ref="F32:I36" xr:uid="{6F0F1EEF-5D33-4417-BEFD-6AE2D799A49D}"/>
  <tableColumns count="4">
    <tableColumn id="1" xr3:uid="{65D0AA6B-E9C0-458A-8D1D-B08C0A784E06}" name="IMPOSTOS" totalsRowLabel="Subtotal"/>
    <tableColumn id="2" xr3:uid="{34CBCFF6-9223-4BED-AB84-42B9B3730086}" name="Custo previsto" dataDxfId="791" totalsRowDxfId="792"/>
    <tableColumn id="3" xr3:uid="{A876B5BE-BAF3-4E8A-8141-44041F3DE74E}" name="Custo Real" dataDxfId="789" totalsRowDxfId="790"/>
    <tableColumn id="4" xr3:uid="{8D5014ED-0047-4D47-90F8-27619D31DAD6}" name="Diferença" totalsRowFunction="sum" dataDxfId="787" totalsRowDxfId="788">
      <calculatedColumnFormula>Impostos19[[#This Row],[Custo previsto]]-Impostos19[[#This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3944857-C446-414A-B825-54A0258D2F58}" name="Poupança20" displayName="Poupança20" ref="F39:I43" totalsRowCount="1" headerRowCellStyle="Normal">
  <autoFilter ref="F39:I42" xr:uid="{03944857-C446-414A-B825-54A0258D2F58}"/>
  <tableColumns count="4">
    <tableColumn id="1" xr3:uid="{2E90978A-A8EB-4551-AC02-74615D4E96F3}" name="POUPANÇAS OU INVESTIMENTOS" totalsRowLabel="Subtotal"/>
    <tableColumn id="2" xr3:uid="{9623F7F0-4E31-4BE0-928E-AEEBD7D72D87}" name="Custo previsto" dataDxfId="785" totalsRowDxfId="786"/>
    <tableColumn id="3" xr3:uid="{FC38B659-F9C0-44D3-933C-B79AC13E71F3}" name="Custo Real" dataDxfId="783" totalsRowDxfId="784"/>
    <tableColumn id="4" xr3:uid="{7B5361B3-CA57-45B9-8244-59D5695A47BE}" name="Diferença" totalsRowFunction="sum" dataDxfId="781" totalsRowDxfId="782">
      <calculatedColumnFormula>Poupança20[[#This Row],[Custo previsto]]-Poupança20[[#This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retenimento" displayName="Entretenimento" ref="F11:I21" totalsRowCount="1" headerRowCellStyle="Normal">
  <autoFilter ref="F11:I20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RETENIMENTO" totalsRowLabel="Subtotal"/>
    <tableColumn id="2" xr3:uid="{00000000-0010-0000-0100-000002000000}" name="Custo previsto" dataDxfId="885" totalsRowDxfId="884"/>
    <tableColumn id="3" xr3:uid="{00000000-0010-0000-0100-000003000000}" name="Custo Real" dataDxfId="883" totalsRowDxfId="882"/>
    <tableColumn id="4" xr3:uid="{00000000-0010-0000-0100-000004000000}" name="Diferença" totalsRowFunction="sum" dataDxfId="881" totalsRowDxfId="880">
      <calculatedColumnFormula>Entretenimento[[#This Row],[Custo previsto]]-Entretenimento[[#This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23AAC9E-CA7B-464C-9056-471C506C58B8}" name="Alimentação21" displayName="Alimentação21" ref="A41:D45" totalsRowCount="1" headerRowCellStyle="Normal">
  <autoFilter ref="A41:D44" xr:uid="{723AAC9E-CA7B-464C-9056-471C506C58B8}"/>
  <tableColumns count="4">
    <tableColumn id="1" xr3:uid="{5E02A24C-030A-4EBF-9BA7-2DA18790C9FF}" name="ALIMENTAÇÃO" totalsRowLabel="Subtotal"/>
    <tableColumn id="2" xr3:uid="{2AB95218-ABFA-489B-93BE-1408E0F91DFC}" name="Custo previsto" dataDxfId="779" totalsRowDxfId="780"/>
    <tableColumn id="3" xr3:uid="{D1F9EB83-3AFD-43F8-8DFB-068A287A805E}" name="Custo Real" dataDxfId="777" totalsRowDxfId="778"/>
    <tableColumn id="4" xr3:uid="{6BB103E3-FC51-4A96-9840-897F42DD4FF0}" name="Diferença" totalsRowFunction="sum" dataDxfId="775" totalsRowDxfId="776">
      <calculatedColumnFormula>Alimentação21[[#This Row],[Custo previsto]]-Alimentação21[[#This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0486003-CACD-45A0-B13F-333E2B33705D}" name="Presentes22" displayName="Presentes22" ref="F45:I49" totalsRowCount="1" headerRowCellStyle="Normal">
  <autoFilter ref="F45:I48" xr:uid="{F0486003-CACD-45A0-B13F-333E2B33705D}"/>
  <tableColumns count="4">
    <tableColumn id="1" xr3:uid="{96D7F59A-00B0-4B3A-8B98-87EA1814B4F5}" name="PRESENTES E DOAÇÕES" totalsRowLabel="Subtotal"/>
    <tableColumn id="2" xr3:uid="{9FAFB7C9-D521-4D23-A5F9-936DB02C7590}" name="Custo previsto" dataDxfId="773" totalsRowDxfId="774"/>
    <tableColumn id="3" xr3:uid="{E935BEB8-9E41-4625-AAE4-0E888674E7DB}" name="Custo Real" dataDxfId="771" totalsRowDxfId="772"/>
    <tableColumn id="4" xr3:uid="{ED4E7576-95CE-4027-BF29-0D4BEED5EB14}" name="Diferença" totalsRowFunction="sum" dataDxfId="769" totalsRowDxfId="770">
      <calculatedColumnFormula>Presentes22[[#This Row],[Custo previsto]]-Presentes22[[#This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A2E3DEC-7DD1-4C99-8244-27C1FBEB569A}" name="Animais_de_estimação23" displayName="Animais_de_estimação23" ref="A47:D53" totalsRowCount="1">
  <tableColumns count="4">
    <tableColumn id="1" xr3:uid="{6F1CFEF0-630F-4EB6-A820-5B09B9A22EC5}" name="ANIMAIS DE ESTIMAÇÃO" totalsRowLabel="Subtotal"/>
    <tableColumn id="2" xr3:uid="{D997E121-491B-484A-8A8F-B595762334AF}" name="Custo previsto" dataDxfId="767" totalsRowDxfId="768"/>
    <tableColumn id="3" xr3:uid="{38FA4156-2B41-4257-8AAD-BD09935F8392}" name="Custo Real" dataDxfId="765" totalsRowDxfId="766"/>
    <tableColumn id="4" xr3:uid="{9D104497-8465-4081-8635-DCB9C0557351}" name="Diferença" totalsRowFunction="sum" dataDxfId="763" totalsRowDxfId="764">
      <calculatedColumnFormula>Animais_de_estimação23[[#This Row],[Custo previsto]]-Animais_de_estimação23[[#This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F21BF54-13E3-483A-878E-9CAF3266C829}" name="Assessoria_jurídica24" displayName="Assessoria_jurídica24" ref="F51:I56" totalsRowCount="1" headerRowCellStyle="Normal">
  <tableColumns count="4">
    <tableColumn id="1" xr3:uid="{17483D69-021F-4AF0-82D8-2BD9A1DB5D8E}" name="ASSESSORIA JURÍDICA" totalsRowLabel="Subtotal"/>
    <tableColumn id="2" xr3:uid="{E577DC2F-8A93-45BE-AFA4-31B83E92ECF7}" name="Custo previsto" dataDxfId="761" totalsRowDxfId="762"/>
    <tableColumn id="3" xr3:uid="{28A6474B-E767-4F5B-9E70-81A805F07E4D}" name="Custo Real" dataDxfId="759" totalsRowDxfId="760"/>
    <tableColumn id="4" xr3:uid="{C3FE6DE9-B756-4EC8-8BDB-06AA7AD9CB85}" name="Diferença" totalsRowFunction="sum" dataDxfId="757" totalsRowDxfId="758">
      <calculatedColumnFormula>Assessoria_jurídica24[[#This Row],[Custo previsto]]-Assessoria_jurídica24[[#This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1E70942-AA33-469E-A24B-16DE76120EBC}" name="CuidadosPessoais25" displayName="CuidadosPessoais25" ref="A55:D63" totalsRowCount="1">
  <autoFilter ref="A55:D62" xr:uid="{B1E70942-AA33-469E-A24B-16DE76120EBC}"/>
  <tableColumns count="4">
    <tableColumn id="1" xr3:uid="{536F95F8-0723-4DFD-B67C-D6DF8DBE83A3}" name="CUIDADOS PESSOAIS" totalsRowLabel="Subtotal"/>
    <tableColumn id="2" xr3:uid="{1A2C0330-19A8-4EAD-B2B2-19564251D7D3}" name="Custo previsto" dataDxfId="756"/>
    <tableColumn id="3" xr3:uid="{0261B753-B1A2-4AF4-BA55-79DE88EC20DE}" name="Custo Real" dataDxfId="755"/>
    <tableColumn id="4" xr3:uid="{E5865655-A30E-4128-B65A-9BE7EC1D9BBA}" name="Diferença" totalsRowFunction="sum" dataDxfId="754">
      <calculatedColumnFormula>CuidadosPessoais25[[#This Row],[Custo previsto]]-CuidadosPessoais25[[#This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5582804-7F42-4163-95B4-ED7E524C548D}" name="Moradia38" displayName="Moradia38" ref="A11:D22" totalsRowCount="1">
  <autoFilter ref="A11:D21" xr:uid="{95582804-7F42-4163-95B4-ED7E524C548D}"/>
  <tableColumns count="4">
    <tableColumn id="1" xr3:uid="{86EA3503-3F73-4C47-B35E-DF2CCDC038BD}" name="MORADIA" totalsRowLabel="Subtotal"/>
    <tableColumn id="2" xr3:uid="{FD466BC8-CF09-410B-90CB-E0BE6E90B83B}" name="Custo previsto" dataDxfId="753"/>
    <tableColumn id="3" xr3:uid="{E37F3A84-1808-4B53-B479-1F509A3DB90F}" name="Custo Real" dataDxfId="752"/>
    <tableColumn id="4" xr3:uid="{AF633ED0-5C9F-4315-9018-B7AF58351101}" name="Diferença" totalsRowFunction="sum" dataDxfId="751">
      <calculatedColumnFormula>Moradia38[[#This Row],[Custo previsto]]-Moradia38[[#This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37DC865-CDDB-4CC9-8EF3-ED0647EB2F77}" name="Entretenimento39" displayName="Entretenimento39" ref="F11:I21" totalsRowCount="1" headerRowCellStyle="Normal">
  <autoFilter ref="F11:I20" xr:uid="{537DC865-CDDB-4CC9-8EF3-ED0647EB2F77}"/>
  <tableColumns count="4">
    <tableColumn id="1" xr3:uid="{27C928DD-7CC7-43AD-A8EA-C5F064D694D3}" name="ENTRETENIMENTO" totalsRowLabel="Subtotal"/>
    <tableColumn id="2" xr3:uid="{0C37799E-8613-4A83-AFEB-1BCDFE42156F}" name="Custo previsto" dataDxfId="749" totalsRowDxfId="750"/>
    <tableColumn id="3" xr3:uid="{CB0AEB12-DF3D-406E-8469-CE38BA2A88D1}" name="Custo Real" dataDxfId="747" totalsRowDxfId="748"/>
    <tableColumn id="4" xr3:uid="{45690149-455A-44D4-A8D7-E9CA9C0B12B0}" name="Diferença" totalsRowFunction="sum" dataDxfId="745" totalsRowDxfId="746">
      <calculatedColumnFormula>Entretenimento39[[#This Row],[Custo previsto]]-Entretenimento39[[#This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C112F2E-963F-401D-B123-D3B5FEC3B3A6}" name="Empréstimos40" displayName="Empréstimos40" ref="F23:I30" totalsRowCount="1">
  <autoFilter ref="F23:I29" xr:uid="{BC112F2E-963F-401D-B123-D3B5FEC3B3A6}"/>
  <tableColumns count="4">
    <tableColumn id="1" xr3:uid="{7A910D12-F50A-4828-B1FB-EA2C10DB0C71}" name="EMPRÉSTIMOS" totalsRowLabel="Subtotal"/>
    <tableColumn id="2" xr3:uid="{02914C45-F2A1-47D0-9DC4-5EB9A7EE63F7}" name="Custo previsto" dataDxfId="743" totalsRowDxfId="744"/>
    <tableColumn id="3" xr3:uid="{D64C4AC8-F8F9-4574-95ED-C4139C738B9B}" name="Custo Real" dataDxfId="741" totalsRowDxfId="742"/>
    <tableColumn id="4" xr3:uid="{215AD6EC-9176-4000-B3D0-552B2307DE39}" name="Diferença" totalsRowFunction="sum" dataDxfId="739" totalsRowDxfId="740">
      <calculatedColumnFormula>Empréstimos40[[#This Row],[Custo previsto]]-Empréstimos40[[#This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C3EB53C-B691-4B39-A69F-560F68158C8F}" name="Transporte41" displayName="Transporte41" ref="A24:D32" totalsRowCount="1" headerRowCellStyle="Normal">
  <autoFilter ref="A24:D31" xr:uid="{EC3EB53C-B691-4B39-A69F-560F68158C8F}"/>
  <tableColumns count="4">
    <tableColumn id="1" xr3:uid="{53279959-30D8-4806-A254-B71928D7301C}" name="TRANSPORTE" totalsRowLabel="Subtotal"/>
    <tableColumn id="2" xr3:uid="{9963B56F-2ACE-4DF3-B5E6-EF23AB39E689}" name="Custo previsto" dataDxfId="737" totalsRowDxfId="738"/>
    <tableColumn id="3" xr3:uid="{55750DC9-0D04-4D75-A353-F81673ED4CC3}" name="Custo Real" dataDxfId="735" totalsRowDxfId="736"/>
    <tableColumn id="4" xr3:uid="{B082CF5F-C555-4FB3-9D12-7B280D0C5A5F}" name="Diferença" totalsRowFunction="sum" dataDxfId="733" totalsRowDxfId="734">
      <calculatedColumnFormula>Transporte41[[#This Row],[Custo previsto]]-Transporte41[[#This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B81F56E-009D-41ED-B01C-066779DC3A5A}" name="Seguro42" displayName="Seguro42" ref="A34:D39" totalsRowCount="1" headerRowCellStyle="Normal">
  <autoFilter ref="A34:D38" xr:uid="{1B81F56E-009D-41ED-B01C-066779DC3A5A}"/>
  <tableColumns count="4">
    <tableColumn id="1" xr3:uid="{D3A90D16-D535-4E84-AE57-09F2F97D0390}" name="SEGURO" totalsRowLabel="Subtotal"/>
    <tableColumn id="2" xr3:uid="{5D4C39FE-B337-4A4E-BCE9-2FC9C3BE3C91}" name="Custo previsto" dataDxfId="731" totalsRowDxfId="732"/>
    <tableColumn id="3" xr3:uid="{34EC8CF7-392F-4A14-9938-39B3DE1EC191}" name="Custo Real" dataDxfId="729" totalsRowDxfId="730"/>
    <tableColumn id="4" xr3:uid="{2C124BC5-4BF4-47AE-87E1-F521D8705332}" name="Diferença" totalsRowFunction="sum" dataDxfId="727" totalsRowDxfId="728">
      <calculatedColumnFormula>Seguro42[[#This Row],[Custo previsto]]-Seguro42[[#This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mpréstimos" displayName="Empréstimos" ref="F23:I30" totalsRowCount="1">
  <autoFilter ref="F23:I29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EMPRÉSTIMOS" totalsRowLabel="Subtotal"/>
    <tableColumn id="2" xr3:uid="{00000000-0010-0000-0200-000002000000}" name="Custo previsto" dataDxfId="879" totalsRowDxfId="878"/>
    <tableColumn id="3" xr3:uid="{00000000-0010-0000-0200-000003000000}" name="Custo Real" dataDxfId="877" totalsRowDxfId="876"/>
    <tableColumn id="4" xr3:uid="{00000000-0010-0000-0200-000004000000}" name="Diferença" totalsRowFunction="sum" dataDxfId="875" totalsRowDxfId="874">
      <calculatedColumnFormula>Empréstimos[[#This Row],[Custo previsto]]-Empréstimos[[#This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F6D68AC-0358-429A-955A-2F581AA149F2}" name="Impostos43" displayName="Impostos43" ref="F32:I37" totalsRowCount="1" headerRowCellStyle="Normal">
  <autoFilter ref="F32:I36" xr:uid="{EF6D68AC-0358-429A-955A-2F581AA149F2}"/>
  <tableColumns count="4">
    <tableColumn id="1" xr3:uid="{588E2BC5-58ED-4C58-92A0-1E67DBB15CC8}" name="IMPOSTOS" totalsRowLabel="Subtotal"/>
    <tableColumn id="2" xr3:uid="{ECBAF653-C0EB-48A1-8E2A-C30714B72DB0}" name="Custo previsto" dataDxfId="725" totalsRowDxfId="726"/>
    <tableColumn id="3" xr3:uid="{5547A8E4-5964-4287-BC00-204583A4405D}" name="Custo Real" dataDxfId="723" totalsRowDxfId="724"/>
    <tableColumn id="4" xr3:uid="{5CE48E50-4CA9-4E50-84C5-02953786D1ED}" name="Diferença" totalsRowFunction="sum" dataDxfId="721" totalsRowDxfId="722">
      <calculatedColumnFormula>Impostos43[[#This Row],[Custo previsto]]-Impostos43[[#This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2AD9669-0B2C-4F66-A342-B618DA98AD7A}" name="Poupança44" displayName="Poupança44" ref="F39:I43" totalsRowCount="1" headerRowCellStyle="Normal">
  <autoFilter ref="F39:I42" xr:uid="{12AD9669-0B2C-4F66-A342-B618DA98AD7A}"/>
  <tableColumns count="4">
    <tableColumn id="1" xr3:uid="{19B0DC95-6E81-4E7E-9D86-6A5E175B8352}" name="POUPANÇAS OU INVESTIMENTOS" totalsRowLabel="Subtotal"/>
    <tableColumn id="2" xr3:uid="{E2B11B1D-9D83-434F-AB6F-D0D49AF8FB63}" name="Custo previsto" dataDxfId="719" totalsRowDxfId="720"/>
    <tableColumn id="3" xr3:uid="{7CEEAC15-40EE-4F23-8981-0D8ED36BEB71}" name="Custo Real" dataDxfId="717" totalsRowDxfId="718"/>
    <tableColumn id="4" xr3:uid="{F323072D-18FE-4A30-9C47-548BF33F49BC}" name="Diferença" totalsRowFunction="sum" dataDxfId="715" totalsRowDxfId="716">
      <calculatedColumnFormula>Poupança44[[#This Row],[Custo previsto]]-Poupança44[[#This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DDE94CD2-5A87-4B48-9415-AEF8FA356DF5}" name="Alimentação45" displayName="Alimentação45" ref="A41:D45" totalsRowCount="1" headerRowCellStyle="Normal">
  <autoFilter ref="A41:D44" xr:uid="{DDE94CD2-5A87-4B48-9415-AEF8FA356DF5}"/>
  <tableColumns count="4">
    <tableColumn id="1" xr3:uid="{BD8F9F90-7589-4EF9-A992-A00201DBF3D8}" name="ALIMENTAÇÃO" totalsRowLabel="Subtotal"/>
    <tableColumn id="2" xr3:uid="{2F1C55B5-AEE2-4E09-A6CA-676E3328A24E}" name="Custo previsto" dataDxfId="713" totalsRowDxfId="714"/>
    <tableColumn id="3" xr3:uid="{85466CD9-C071-4B27-B2A7-31C54318B5B1}" name="Custo Real" dataDxfId="711" totalsRowDxfId="712"/>
    <tableColumn id="4" xr3:uid="{F6BF13E8-4692-4412-807F-7462EDB35077}" name="Diferença" totalsRowFunction="sum" dataDxfId="709" totalsRowDxfId="710">
      <calculatedColumnFormula>Alimentação45[[#This Row],[Custo previsto]]-Alimentação45[[#This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2CE3152-13FF-4798-800F-C50331132B04}" name="Presentes46" displayName="Presentes46" ref="F45:I49" totalsRowCount="1" headerRowCellStyle="Normal">
  <autoFilter ref="F45:I48" xr:uid="{E2CE3152-13FF-4798-800F-C50331132B04}"/>
  <tableColumns count="4">
    <tableColumn id="1" xr3:uid="{A79966FB-44D0-4941-9307-AAD60B1B55E9}" name="PRESENTES E DOAÇÕES" totalsRowLabel="Subtotal"/>
    <tableColumn id="2" xr3:uid="{EFAB503F-F929-415C-9F5A-575A75F9C7F8}" name="Custo previsto" dataDxfId="707" totalsRowDxfId="708"/>
    <tableColumn id="3" xr3:uid="{8E2A36A7-CEC7-4E84-B734-4FC317A96651}" name="Custo Real" dataDxfId="705" totalsRowDxfId="706"/>
    <tableColumn id="4" xr3:uid="{22E89287-CD48-4C56-9171-08C3C21293F8}" name="Diferença" totalsRowFunction="sum" dataDxfId="703" totalsRowDxfId="704">
      <calculatedColumnFormula>Presentes46[[#This Row],[Custo previsto]]-Presentes46[[#This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A2A0838-7188-4D84-A655-4AD9D1B01A51}" name="Animais_de_estimação47" displayName="Animais_de_estimação47" ref="A47:D53" totalsRowCount="1">
  <tableColumns count="4">
    <tableColumn id="1" xr3:uid="{605674E6-29B2-4CD7-97CF-CEAA20A635F0}" name="ANIMAIS DE ESTIMAÇÃO" totalsRowLabel="Subtotal"/>
    <tableColumn id="2" xr3:uid="{962C46B1-DFF9-4A7E-BF79-FA2443C39F09}" name="Custo previsto" dataDxfId="701" totalsRowDxfId="702"/>
    <tableColumn id="3" xr3:uid="{42523FAF-578C-4546-AB88-5F92CC604E69}" name="Custo Real" dataDxfId="699" totalsRowDxfId="700"/>
    <tableColumn id="4" xr3:uid="{A84AC8D2-7AB9-43F0-987E-160D51162802}" name="Diferença" totalsRowFunction="sum" dataDxfId="697" totalsRowDxfId="698">
      <calculatedColumnFormula>Animais_de_estimação47[[#This Row],[Custo previsto]]-Animais_de_estimação47[[#This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C6F5FA4-576B-46D6-BFB1-0FA4EF847C98}" name="Assessoria_jurídica48" displayName="Assessoria_jurídica48" ref="F51:I56" totalsRowCount="1" headerRowCellStyle="Normal">
  <tableColumns count="4">
    <tableColumn id="1" xr3:uid="{E45DE56C-4F9B-42B7-8D0F-B378CDBD9EC0}" name="ASSESSORIA JURÍDICA" totalsRowLabel="Subtotal"/>
    <tableColumn id="2" xr3:uid="{38C86313-C5AD-473B-B87D-D209B879FA2C}" name="Custo previsto" dataDxfId="695" totalsRowDxfId="696"/>
    <tableColumn id="3" xr3:uid="{83131E0E-B688-4E84-964F-1BD1421CDCCB}" name="Custo Real" dataDxfId="693" totalsRowDxfId="694"/>
    <tableColumn id="4" xr3:uid="{DE770673-C419-447B-B576-1A3AE92EFEF0}" name="Diferença" totalsRowFunction="sum" dataDxfId="691" totalsRowDxfId="692">
      <calculatedColumnFormula>Assessoria_jurídica48[[#This Row],[Custo previsto]]-Assessoria_jurídica48[[#This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35B1056-C160-45D2-AE66-E2BF1A767A6E}" name="CuidadosPessoais49" displayName="CuidadosPessoais49" ref="A55:D63" totalsRowCount="1">
  <autoFilter ref="A55:D62" xr:uid="{B35B1056-C160-45D2-AE66-E2BF1A767A6E}"/>
  <tableColumns count="4">
    <tableColumn id="1" xr3:uid="{20592027-45D9-47EA-A449-DB62D5F0D0D9}" name="CUIDADOS PESSOAIS" totalsRowLabel="Subtotal"/>
    <tableColumn id="2" xr3:uid="{741BF35A-0277-4585-9CE2-07B4B52D148F}" name="Custo previsto" dataDxfId="690"/>
    <tableColumn id="3" xr3:uid="{DD78DDBE-5D0A-479A-98E0-5E5CB57ECFC4}" name="Custo Real" dataDxfId="689"/>
    <tableColumn id="4" xr3:uid="{74BFF1FF-A207-4B4B-B196-A2235346AACA}" name="Diferença" totalsRowFunction="sum" dataDxfId="688">
      <calculatedColumnFormula>CuidadosPessoais49[[#This Row],[Custo previsto]]-CuidadosPessoais49[[#This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2DD7FCF-C503-431C-BFF1-FA4D3667B5F7}" name="Moradia3850" displayName="Moradia3850" ref="A11:D22" totalsRowCount="1">
  <autoFilter ref="A11:D21" xr:uid="{12DD7FCF-C503-431C-BFF1-FA4D3667B5F7}"/>
  <tableColumns count="4">
    <tableColumn id="1" xr3:uid="{8528B4FA-A918-48C5-B467-078D759C0109}" name="MORADIA" totalsRowLabel="Subtotal"/>
    <tableColumn id="2" xr3:uid="{37FD2105-30E1-4F0B-A42B-B4099DCB8E60}" name="Custo previsto" dataDxfId="687"/>
    <tableColumn id="3" xr3:uid="{B5F83D24-CDEB-4FD4-A5A9-183B008658D3}" name="Custo Real" dataDxfId="686"/>
    <tableColumn id="4" xr3:uid="{716E2E81-97BA-4C0E-8E2D-69BAC28C5047}" name="Diferença" totalsRowFunction="sum" dataDxfId="685">
      <calculatedColumnFormula>Moradia3850[[#This Row],[Custo previsto]]-Moradia3850[[#This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DDCCA40-9C4E-4D51-A49A-CD2C4731BA5A}" name="Entretenimento3951" displayName="Entretenimento3951" ref="F11:I21" totalsRowCount="1" headerRowCellStyle="Normal">
  <autoFilter ref="F11:I20" xr:uid="{2DDCCA40-9C4E-4D51-A49A-CD2C4731BA5A}"/>
  <tableColumns count="4">
    <tableColumn id="1" xr3:uid="{63D94EF2-16D7-402D-9F4E-2D38BAC3CBC7}" name="ENTRETENIMENTO" totalsRowLabel="Subtotal"/>
    <tableColumn id="2" xr3:uid="{4905A0F9-D670-4E3C-902C-64D488AFE255}" name="Custo previsto" dataDxfId="683" totalsRowDxfId="684"/>
    <tableColumn id="3" xr3:uid="{588CB7FD-28FF-411A-984D-6419F76C2911}" name="Custo Real" dataDxfId="681" totalsRowDxfId="682"/>
    <tableColumn id="4" xr3:uid="{987B93F7-A4C3-481D-AE39-3059E7F4EA34}" name="Diferença" totalsRowFunction="sum" dataDxfId="679" totalsRowDxfId="680">
      <calculatedColumnFormula>Entretenimento3951[[#This Row],[Custo previsto]]-Entretenimento3951[[#This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65A7F524-00C4-4311-8583-C3D9525B19CE}" name="Empréstimos4052" displayName="Empréstimos4052" ref="F23:I30" totalsRowCount="1">
  <autoFilter ref="F23:I29" xr:uid="{65A7F524-00C4-4311-8583-C3D9525B19CE}"/>
  <tableColumns count="4">
    <tableColumn id="1" xr3:uid="{30310BBC-5BB7-4091-867E-4C071A7F895E}" name="EMPRÉSTIMOS" totalsRowLabel="Subtotal"/>
    <tableColumn id="2" xr3:uid="{E65CF243-5B63-4D8E-BC10-9CD584439FF0}" name="Custo previsto" dataDxfId="677" totalsRowDxfId="678"/>
    <tableColumn id="3" xr3:uid="{1019E074-7D91-4FF5-9CEA-5CD1D0020953}" name="Custo Real" dataDxfId="675" totalsRowDxfId="676"/>
    <tableColumn id="4" xr3:uid="{E6808AF8-DD3B-4DB3-B4F5-845F9ED239CA}" name="Diferença" totalsRowFunction="sum" dataDxfId="673" totalsRowDxfId="674">
      <calculatedColumnFormula>Empréstimos4052[[#This Row],[Custo previsto]]-Empréstimos4052[[#This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e" displayName="Transporte" ref="A24:D32" totalsRowCount="1" headerRowCellStyle="Normal">
  <autoFilter ref="A24:D3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E" totalsRowLabel="Subtotal"/>
    <tableColumn id="2" xr3:uid="{00000000-0010-0000-0300-000002000000}" name="Custo previsto" dataDxfId="873" totalsRowDxfId="872"/>
    <tableColumn id="3" xr3:uid="{00000000-0010-0000-0300-000003000000}" name="Custo Real" dataDxfId="871" totalsRowDxfId="870"/>
    <tableColumn id="4" xr3:uid="{00000000-0010-0000-0300-000004000000}" name="Diferença" totalsRowFunction="sum" dataDxfId="869" totalsRowDxfId="868">
      <calculatedColumnFormula>Transporte[[#This Row],[Custo previsto]]-Transporte[[#This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3C496E98-FEAA-4955-B968-980A616F6ADB}" name="Transporte4153" displayName="Transporte4153" ref="A24:D32" totalsRowCount="1" headerRowCellStyle="Normal">
  <autoFilter ref="A24:D31" xr:uid="{3C496E98-FEAA-4955-B968-980A616F6ADB}"/>
  <tableColumns count="4">
    <tableColumn id="1" xr3:uid="{821F3BFA-594C-4458-B97B-765A13EC8272}" name="TRANSPORTE" totalsRowLabel="Subtotal"/>
    <tableColumn id="2" xr3:uid="{869B89F1-5922-42C2-AD9A-BBA59FFDA8E7}" name="Custo previsto" dataDxfId="671" totalsRowDxfId="672"/>
    <tableColumn id="3" xr3:uid="{56C75B0D-D4A7-4AF4-AF16-7F6875C38BCF}" name="Custo Real" dataDxfId="669" totalsRowDxfId="670"/>
    <tableColumn id="4" xr3:uid="{16D2CBA0-F905-4FF4-8523-0DDEF341C22B}" name="Diferença" totalsRowFunction="sum" dataDxfId="667" totalsRowDxfId="668">
      <calculatedColumnFormula>Transporte4153[[#This Row],[Custo previsto]]-Transporte4153[[#This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81A7F43A-A61A-49F3-999F-C41345269FE5}" name="Seguro4254" displayName="Seguro4254" ref="A34:D39" totalsRowCount="1" headerRowCellStyle="Normal">
  <autoFilter ref="A34:D38" xr:uid="{81A7F43A-A61A-49F3-999F-C41345269FE5}"/>
  <tableColumns count="4">
    <tableColumn id="1" xr3:uid="{317F4747-D168-46FE-9DAC-1EAF6E3488A2}" name="SEGURO" totalsRowLabel="Subtotal"/>
    <tableColumn id="2" xr3:uid="{008E2E14-81D2-4644-9D52-2593966A9E42}" name="Custo previsto" dataDxfId="665" totalsRowDxfId="666"/>
    <tableColumn id="3" xr3:uid="{283B0540-50E6-47CA-86D4-3E63A72C8C43}" name="Custo Real" dataDxfId="663" totalsRowDxfId="664"/>
    <tableColumn id="4" xr3:uid="{C6A78EF2-E8E0-4C9D-914E-83C3F4A0C9B3}" name="Diferença" totalsRowFunction="sum" dataDxfId="661" totalsRowDxfId="662">
      <calculatedColumnFormula>Seguro4254[[#This Row],[Custo previsto]]-Seguro4254[[#This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2837665-A5C2-4EB8-B056-D19F97D501DC}" name="Impostos4355" displayName="Impostos4355" ref="F32:I37" totalsRowCount="1" headerRowCellStyle="Normal">
  <autoFilter ref="F32:I36" xr:uid="{B2837665-A5C2-4EB8-B056-D19F97D501DC}"/>
  <tableColumns count="4">
    <tableColumn id="1" xr3:uid="{19D3A8B8-2ADA-43D5-AAB5-C76514640AEF}" name="IMPOSTOS" totalsRowLabel="Subtotal"/>
    <tableColumn id="2" xr3:uid="{D065B72D-6268-48D2-9598-A93F110CD724}" name="Custo previsto" dataDxfId="659" totalsRowDxfId="660"/>
    <tableColumn id="3" xr3:uid="{A0315648-0F86-401B-B52A-8663465563EA}" name="Custo Real" dataDxfId="657" totalsRowDxfId="658"/>
    <tableColumn id="4" xr3:uid="{E0AC6E4A-ED98-49DC-BBA2-D24749FF5957}" name="Diferença" totalsRowFunction="sum" dataDxfId="655" totalsRowDxfId="656">
      <calculatedColumnFormula>Impostos4355[[#This Row],[Custo previsto]]-Impostos4355[[#This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6E3B596B-474B-451A-80DE-DA5D098AF504}" name="Poupança4456" displayName="Poupança4456" ref="F39:I43" totalsRowCount="1" headerRowCellStyle="Normal">
  <autoFilter ref="F39:I42" xr:uid="{6E3B596B-474B-451A-80DE-DA5D098AF504}"/>
  <tableColumns count="4">
    <tableColumn id="1" xr3:uid="{A4A375A4-39D4-4EE2-872F-B375CEA77F81}" name="POUPANÇAS OU INVESTIMENTOS" totalsRowLabel="Subtotal"/>
    <tableColumn id="2" xr3:uid="{E1F44F49-2AA7-4CFC-A467-6CEF99FD9AC7}" name="Custo previsto" dataDxfId="653" totalsRowDxfId="654"/>
    <tableColumn id="3" xr3:uid="{CE1FA104-6FB5-4DD6-8D53-CC1631B596CE}" name="Custo Real" dataDxfId="651" totalsRowDxfId="652"/>
    <tableColumn id="4" xr3:uid="{01CF4E16-8072-4CC7-AF7C-DFF43C336C9C}" name="Diferença" totalsRowFunction="sum" dataDxfId="649" totalsRowDxfId="650">
      <calculatedColumnFormula>Poupança4456[[#This Row],[Custo previsto]]-Poupança4456[[#This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78DD278-DE7A-4626-9D75-0D4FEE987C88}" name="Alimentação4557" displayName="Alimentação4557" ref="A41:D45" totalsRowCount="1" headerRowCellStyle="Normal">
  <autoFilter ref="A41:D44" xr:uid="{678DD278-DE7A-4626-9D75-0D4FEE987C88}"/>
  <tableColumns count="4">
    <tableColumn id="1" xr3:uid="{92A101FC-0751-42E4-B1FF-33C1103CD23C}" name="ALIMENTAÇÃO" totalsRowLabel="Subtotal"/>
    <tableColumn id="2" xr3:uid="{96F6A9EE-6C90-4148-892E-249DC3DF9B71}" name="Custo previsto" dataDxfId="647" totalsRowDxfId="648"/>
    <tableColumn id="3" xr3:uid="{2F40EE78-8BCB-4EF5-A7A7-5A36E3F3BA15}" name="Custo Real" dataDxfId="645" totalsRowDxfId="646"/>
    <tableColumn id="4" xr3:uid="{8639513B-681F-4666-8028-C54C3DD13B4A}" name="Diferença" totalsRowFunction="sum" dataDxfId="643" totalsRowDxfId="644">
      <calculatedColumnFormula>Alimentação4557[[#This Row],[Custo previsto]]-Alimentação4557[[#This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5859FBA-9098-4751-B902-E633E2485106}" name="Presentes4658" displayName="Presentes4658" ref="F45:I49" totalsRowCount="1" headerRowCellStyle="Normal">
  <autoFilter ref="F45:I48" xr:uid="{95859FBA-9098-4751-B902-E633E2485106}"/>
  <tableColumns count="4">
    <tableColumn id="1" xr3:uid="{AA40F7EE-4D6D-4644-8726-9AFFFC3E463C}" name="PRESENTES E DOAÇÕES" totalsRowLabel="Subtotal"/>
    <tableColumn id="2" xr3:uid="{993644F2-4D07-45A1-8DED-4012BC8A52EE}" name="Custo previsto" dataDxfId="641" totalsRowDxfId="642"/>
    <tableColumn id="3" xr3:uid="{675E3D89-ED78-4594-B6CE-9231821941C2}" name="Custo Real" dataDxfId="639" totalsRowDxfId="640"/>
    <tableColumn id="4" xr3:uid="{4DD9392D-0894-4791-83D0-71B1976E8476}" name="Diferença" totalsRowFunction="sum" dataDxfId="637" totalsRowDxfId="638">
      <calculatedColumnFormula>Presentes4658[[#This Row],[Custo previsto]]-Presentes4658[[#This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61B9811A-43BB-4FD6-9E25-BB1C9AFBDC60}" name="Animais_de_estimação4759" displayName="Animais_de_estimação4759" ref="A47:D53" totalsRowCount="1">
  <tableColumns count="4">
    <tableColumn id="1" xr3:uid="{C53300F9-99E1-42B6-B870-FD73DF9548E0}" name="ANIMAIS DE ESTIMAÇÃO" totalsRowLabel="Subtotal"/>
    <tableColumn id="2" xr3:uid="{4CD2994C-94A9-4540-8789-627D9CCB5302}" name="Custo previsto" dataDxfId="635" totalsRowDxfId="636"/>
    <tableColumn id="3" xr3:uid="{6A9452E5-05A8-4E7D-BE06-A48DDD24357B}" name="Custo Real" dataDxfId="633" totalsRowDxfId="634"/>
    <tableColumn id="4" xr3:uid="{82F73EBB-9AE3-4635-86CB-3CA59495D67C}" name="Diferença" totalsRowFunction="sum" dataDxfId="631" totalsRowDxfId="632">
      <calculatedColumnFormula>Animais_de_estimação4759[[#This Row],[Custo previsto]]-Animais_de_estimação4759[[#This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89C0071E-A3E1-4604-80BB-FF811AAE8AE6}" name="Assessoria_jurídica4860" displayName="Assessoria_jurídica4860" ref="F51:I56" totalsRowCount="1" headerRowCellStyle="Normal">
  <tableColumns count="4">
    <tableColumn id="1" xr3:uid="{5701E01D-2271-4E06-BDC0-BC26A6CC5930}" name="ASSESSORIA JURÍDICA" totalsRowLabel="Subtotal"/>
    <tableColumn id="2" xr3:uid="{84ACCB50-7F30-4428-915E-6290E90FDE53}" name="Custo previsto" dataDxfId="629" totalsRowDxfId="630"/>
    <tableColumn id="3" xr3:uid="{B364E1FF-0B78-4020-BE48-5641783F4BE0}" name="Custo Real" dataDxfId="627" totalsRowDxfId="628"/>
    <tableColumn id="4" xr3:uid="{E0DF9CBB-13FF-4C9D-AB8C-76C9F6418D5F}" name="Diferença" totalsRowFunction="sum" dataDxfId="625" totalsRowDxfId="626">
      <calculatedColumnFormula>Assessoria_jurídica4860[[#This Row],[Custo previsto]]-Assessoria_jurídica4860[[#This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818B383-786C-4DA4-A15B-A29B00B02C2B}" name="CuidadosPessoais4961" displayName="CuidadosPessoais4961" ref="A55:D63" totalsRowCount="1">
  <autoFilter ref="A55:D62" xr:uid="{F818B383-786C-4DA4-A15B-A29B00B02C2B}"/>
  <tableColumns count="4">
    <tableColumn id="1" xr3:uid="{6CEC2889-4731-47FF-8A97-88FA48276A72}" name="CUIDADOS PESSOAIS" totalsRowLabel="Subtotal"/>
    <tableColumn id="2" xr3:uid="{D2E53077-FD39-4F46-A0D5-B36264C8BCA5}" name="Custo previsto" dataDxfId="624"/>
    <tableColumn id="3" xr3:uid="{A0052D69-3B44-41EC-AD62-38BC9809E84D}" name="Custo Real" dataDxfId="623"/>
    <tableColumn id="4" xr3:uid="{10F3726D-5F89-46D8-BD11-F6341D25A7ED}" name="Diferença" totalsRowFunction="sum" dataDxfId="622">
      <calculatedColumnFormula>CuidadosPessoais4961[[#This Row],[Custo previsto]]-CuidadosPessoais4961[[#This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E9E354BB-EB9D-4548-9F9A-5C93C8D8D4AC}" name="Moradia3862" displayName="Moradia3862" ref="A11:D22" totalsRowCount="1">
  <autoFilter ref="A11:D21" xr:uid="{E9E354BB-EB9D-4548-9F9A-5C93C8D8D4AC}"/>
  <tableColumns count="4">
    <tableColumn id="1" xr3:uid="{2B41AE95-5611-4B66-A650-2154581B9957}" name="MORADIA" totalsRowLabel="Subtotal"/>
    <tableColumn id="2" xr3:uid="{0015E426-DD1C-4E0C-A4D3-6B61E640ECCB}" name="Custo previsto" dataDxfId="621"/>
    <tableColumn id="3" xr3:uid="{6A048427-E304-42FE-9C2D-4F99B007225C}" name="Custo Real" dataDxfId="620"/>
    <tableColumn id="4" xr3:uid="{0609CACA-6582-4E6C-96A3-57315C97BC4C}" name="Diferença" totalsRowFunction="sum" dataDxfId="619">
      <calculatedColumnFormula>Moradia3862[[#This Row],[Custo previsto]]-Moradia3862[[#This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Seguro" displayName="Seguro" ref="A34:D39" totalsRowCount="1" headerRowCellStyle="Normal">
  <autoFilter ref="A34:D3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SEGURO" totalsRowLabel="Subtotal"/>
    <tableColumn id="2" xr3:uid="{00000000-0010-0000-0400-000002000000}" name="Custo previsto" dataDxfId="867" totalsRowDxfId="866"/>
    <tableColumn id="3" xr3:uid="{00000000-0010-0000-0400-000003000000}" name="Custo Real" dataDxfId="865" totalsRowDxfId="864"/>
    <tableColumn id="4" xr3:uid="{00000000-0010-0000-0400-000004000000}" name="Diferença" totalsRowFunction="sum" dataDxfId="863" totalsRowDxfId="862">
      <calculatedColumnFormula>Seguro[[#This Row],[Custo previsto]]-Seguro[[#This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90D2A9F8-8959-414E-A3C2-A9F57DBFFBFF}" name="Entretenimento3963" displayName="Entretenimento3963" ref="F11:I21" totalsRowCount="1" headerRowCellStyle="Normal">
  <autoFilter ref="F11:I20" xr:uid="{90D2A9F8-8959-414E-A3C2-A9F57DBFFBFF}"/>
  <tableColumns count="4">
    <tableColumn id="1" xr3:uid="{D821AE18-B85F-4156-AB45-BD685B3AE128}" name="ENTRETENIMENTO" totalsRowLabel="Subtotal"/>
    <tableColumn id="2" xr3:uid="{A8C89910-E9EB-4ECF-8FB3-80896F452239}" name="Custo previsto" dataDxfId="617" totalsRowDxfId="618"/>
    <tableColumn id="3" xr3:uid="{CAADE88C-3FAB-4BAB-8EA3-9CEECB5B94E0}" name="Custo Real" dataDxfId="615" totalsRowDxfId="616"/>
    <tableColumn id="4" xr3:uid="{9CDEB80B-6CA7-4EB0-BDFE-DBE8CDAEDE4A}" name="Diferença" totalsRowFunction="sum" dataDxfId="613" totalsRowDxfId="614">
      <calculatedColumnFormula>Entretenimento3963[[#This Row],[Custo previsto]]-Entretenimento3963[[#This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A38FCF9-B4B7-4B0D-8C3B-69FE3436FD7D}" name="Empréstimos4064" displayName="Empréstimos4064" ref="F23:I30" totalsRowCount="1">
  <autoFilter ref="F23:I29" xr:uid="{3A38FCF9-B4B7-4B0D-8C3B-69FE3436FD7D}"/>
  <tableColumns count="4">
    <tableColumn id="1" xr3:uid="{0F477844-A4E3-4AA5-8EBB-200B2A91BE8F}" name="EMPRÉSTIMOS" totalsRowLabel="Subtotal"/>
    <tableColumn id="2" xr3:uid="{3D85777C-C99C-4B2B-8285-80F98037ECAC}" name="Custo previsto" dataDxfId="611" totalsRowDxfId="612"/>
    <tableColumn id="3" xr3:uid="{B30A219E-623F-4028-A495-4A4AA13DF5B1}" name="Custo Real" dataDxfId="609" totalsRowDxfId="610"/>
    <tableColumn id="4" xr3:uid="{C7D6F5BA-0F7D-4C33-BB37-269660F2D087}" name="Diferença" totalsRowFunction="sum" dataDxfId="607" totalsRowDxfId="608">
      <calculatedColumnFormula>Empréstimos4064[[#This Row],[Custo previsto]]-Empréstimos4064[[#This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6442903C-8C97-4188-AE72-FF6CF4E3FFC3}" name="Transporte4165" displayName="Transporte4165" ref="A24:D32" totalsRowCount="1" headerRowCellStyle="Normal">
  <autoFilter ref="A24:D31" xr:uid="{6442903C-8C97-4188-AE72-FF6CF4E3FFC3}"/>
  <tableColumns count="4">
    <tableColumn id="1" xr3:uid="{11342999-F77B-4721-97FD-A09E9B33820E}" name="TRANSPORTE" totalsRowLabel="Subtotal"/>
    <tableColumn id="2" xr3:uid="{18E36605-7720-456B-B2F7-0EDA7809D517}" name="Custo previsto" dataDxfId="605" totalsRowDxfId="606"/>
    <tableColumn id="3" xr3:uid="{E7CF5F05-7C1D-4641-8B5D-C7F8AE7A33D3}" name="Custo Real" dataDxfId="603" totalsRowDxfId="604"/>
    <tableColumn id="4" xr3:uid="{6185020D-A052-4114-ACD9-4F26B2CBD261}" name="Diferença" totalsRowFunction="sum" dataDxfId="601" totalsRowDxfId="602">
      <calculatedColumnFormula>Transporte4165[[#This Row],[Custo previsto]]-Transporte4165[[#This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D426221C-5641-48C6-AD1F-71984714FA6A}" name="Seguro4266" displayName="Seguro4266" ref="A34:D39" totalsRowCount="1" headerRowCellStyle="Normal">
  <autoFilter ref="A34:D38" xr:uid="{D426221C-5641-48C6-AD1F-71984714FA6A}"/>
  <tableColumns count="4">
    <tableColumn id="1" xr3:uid="{D372C854-030C-4188-AC6A-1792FB0D7232}" name="SEGURO" totalsRowLabel="Subtotal"/>
    <tableColumn id="2" xr3:uid="{A1546F8A-AC8A-491B-816E-FAA160928D3D}" name="Custo previsto" dataDxfId="599" totalsRowDxfId="600"/>
    <tableColumn id="3" xr3:uid="{35A11F89-85D6-4177-B912-700EBFA8B8AF}" name="Custo Real" dataDxfId="597" totalsRowDxfId="598"/>
    <tableColumn id="4" xr3:uid="{49384671-AE5E-4FD1-BC05-5BE9CA7B3004}" name="Diferença" totalsRowFunction="sum" dataDxfId="595" totalsRowDxfId="596">
      <calculatedColumnFormula>Seguro4266[[#This Row],[Custo previsto]]-Seguro4266[[#This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AD9ED80F-9459-408C-9766-13A93D42193E}" name="Impostos4367" displayName="Impostos4367" ref="F32:I37" totalsRowCount="1" headerRowCellStyle="Normal">
  <autoFilter ref="F32:I36" xr:uid="{AD9ED80F-9459-408C-9766-13A93D42193E}"/>
  <tableColumns count="4">
    <tableColumn id="1" xr3:uid="{6F9D19F3-EEB3-4D35-9F96-17D2007CF1B8}" name="IMPOSTOS" totalsRowLabel="Subtotal"/>
    <tableColumn id="2" xr3:uid="{35A287CD-2748-44B1-A293-D765450BCE5F}" name="Custo previsto" dataDxfId="593" totalsRowDxfId="594"/>
    <tableColumn id="3" xr3:uid="{E8B1DBC2-3710-44A1-B6FA-2946B9946C29}" name="Custo Real" dataDxfId="591" totalsRowDxfId="592"/>
    <tableColumn id="4" xr3:uid="{DB1D3B77-0517-475F-BC73-BFA8255CAF66}" name="Diferença" totalsRowFunction="sum" dataDxfId="589" totalsRowDxfId="590">
      <calculatedColumnFormula>Impostos4367[[#This Row],[Custo previsto]]-Impostos4367[[#This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94DD5F21-E986-429E-B932-992354632FC9}" name="Poupança4468" displayName="Poupança4468" ref="F39:I43" totalsRowCount="1" headerRowCellStyle="Normal">
  <autoFilter ref="F39:I42" xr:uid="{94DD5F21-E986-429E-B932-992354632FC9}"/>
  <tableColumns count="4">
    <tableColumn id="1" xr3:uid="{F6EDBEA5-E6C7-48F6-BDAE-DB18A562F684}" name="POUPANÇAS OU INVESTIMENTOS" totalsRowLabel="Subtotal"/>
    <tableColumn id="2" xr3:uid="{BED93F7B-12F7-46A9-B6D9-E975A577C7A2}" name="Custo previsto" dataDxfId="587" totalsRowDxfId="588"/>
    <tableColumn id="3" xr3:uid="{DD57D0F5-F8C9-4445-9028-D05D6C5BB783}" name="Custo Real" dataDxfId="585" totalsRowDxfId="586"/>
    <tableColumn id="4" xr3:uid="{0998FEA2-D102-440A-A2CF-D7A0FE3F3502}" name="Diferença" totalsRowFunction="sum" dataDxfId="583" totalsRowDxfId="584">
      <calculatedColumnFormula>Poupança4468[[#This Row],[Custo previsto]]-Poupança4468[[#This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F97E7DCA-0F89-43F6-9A59-DD01469C1067}" name="Alimentação4569" displayName="Alimentação4569" ref="A41:D45" totalsRowCount="1" headerRowCellStyle="Normal">
  <autoFilter ref="A41:D44" xr:uid="{F97E7DCA-0F89-43F6-9A59-DD01469C1067}"/>
  <tableColumns count="4">
    <tableColumn id="1" xr3:uid="{C506713C-CCF4-44B1-A4F0-68B988DEE067}" name="ALIMENTAÇÃO" totalsRowLabel="Subtotal"/>
    <tableColumn id="2" xr3:uid="{BE9A37BF-8BF6-4FD3-8318-EDC809635BFE}" name="Custo previsto" dataDxfId="581" totalsRowDxfId="582"/>
    <tableColumn id="3" xr3:uid="{EFCBD9FB-D264-42F5-82E7-4CDF0056AADC}" name="Custo Real" dataDxfId="579" totalsRowDxfId="580"/>
    <tableColumn id="4" xr3:uid="{92042178-C81B-4F11-974B-2A1F6D3079C8}" name="Diferença" totalsRowFunction="sum" dataDxfId="577" totalsRowDxfId="578">
      <calculatedColumnFormula>Alimentação4569[[#This Row],[Custo previsto]]-Alimentação4569[[#This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9F66D13-F313-43B8-952E-4429A54CBA0B}" name="Presentes4670" displayName="Presentes4670" ref="F45:I49" totalsRowCount="1" headerRowCellStyle="Normal">
  <autoFilter ref="F45:I48" xr:uid="{D9F66D13-F313-43B8-952E-4429A54CBA0B}"/>
  <tableColumns count="4">
    <tableColumn id="1" xr3:uid="{5B9730E5-FBC0-4D1C-A83C-411404E6B320}" name="PRESENTES E DOAÇÕES" totalsRowLabel="Subtotal"/>
    <tableColumn id="2" xr3:uid="{C1F2D024-9AAD-4235-8658-0FBB57099AEF}" name="Custo previsto" dataDxfId="575" totalsRowDxfId="576"/>
    <tableColumn id="3" xr3:uid="{B8FDA88E-064D-4961-92D0-33B1FDE0D2B4}" name="Custo Real" dataDxfId="573" totalsRowDxfId="574"/>
    <tableColumn id="4" xr3:uid="{9DAAA767-E690-4D0B-ABA3-94A7C12FE30A}" name="Diferença" totalsRowFunction="sum" dataDxfId="571" totalsRowDxfId="572">
      <calculatedColumnFormula>Presentes4670[[#This Row],[Custo previsto]]-Presentes4670[[#This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811E4C71-9152-4BAE-895E-2117802C1784}" name="Animais_de_estimação4771" displayName="Animais_de_estimação4771" ref="A47:D53" totalsRowCount="1">
  <tableColumns count="4">
    <tableColumn id="1" xr3:uid="{FD8BD6AA-E9DC-40EA-A063-E5504835CDDC}" name="ANIMAIS DE ESTIMAÇÃO" totalsRowLabel="Subtotal"/>
    <tableColumn id="2" xr3:uid="{FA0C3C59-42F4-4495-87AC-45B1F37A9C04}" name="Custo previsto" dataDxfId="569" totalsRowDxfId="570"/>
    <tableColumn id="3" xr3:uid="{6085FA20-F276-45C2-B7CA-50E026058EF6}" name="Custo Real" dataDxfId="567" totalsRowDxfId="568"/>
    <tableColumn id="4" xr3:uid="{BED4609C-5826-4C50-A42C-B183C9A8BD44}" name="Diferença" totalsRowFunction="sum" dataDxfId="565" totalsRowDxfId="566">
      <calculatedColumnFormula>Animais_de_estimação4771[[#This Row],[Custo previsto]]-Animais_de_estimação4771[[#This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CC02EDB1-0B84-4EEC-8E21-7689E62980CD}" name="Assessoria_jurídica4872" displayName="Assessoria_jurídica4872" ref="F51:I56" totalsRowCount="1" headerRowCellStyle="Normal">
  <tableColumns count="4">
    <tableColumn id="1" xr3:uid="{7D7E6D1E-882F-404A-B9FD-4DFBA6A96221}" name="ASSESSORIA JURÍDICA" totalsRowLabel="Subtotal"/>
    <tableColumn id="2" xr3:uid="{D6FC8654-F046-4AB4-89D8-DD41AC3DA879}" name="Custo previsto" dataDxfId="563" totalsRowDxfId="564"/>
    <tableColumn id="3" xr3:uid="{91AB7A73-2E2E-44B5-9AA6-41560E6ED24C}" name="Custo Real" dataDxfId="561" totalsRowDxfId="562"/>
    <tableColumn id="4" xr3:uid="{1168573E-300C-46E6-85DC-AE63C9A1A44C}" name="Diferença" totalsRowFunction="sum" dataDxfId="559" totalsRowDxfId="560">
      <calculatedColumnFormula>Assessoria_jurídica4872[[#This Row],[Custo previsto]]-Assessoria_jurídica4872[[#This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Impostos" displayName="Impostos" ref="F32:I37" totalsRowCount="1" headerRowCellStyle="Normal">
  <autoFilter ref="F32:I36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IMPOSTOS" totalsRowLabel="Subtotal"/>
    <tableColumn id="2" xr3:uid="{00000000-0010-0000-0500-000002000000}" name="Custo previsto" dataDxfId="861" totalsRowDxfId="860"/>
    <tableColumn id="3" xr3:uid="{00000000-0010-0000-0500-000003000000}" name="Custo Real" dataDxfId="859" totalsRowDxfId="858"/>
    <tableColumn id="4" xr3:uid="{00000000-0010-0000-0500-000004000000}" name="Diferença" totalsRowFunction="sum" dataDxfId="857" totalsRowDxfId="856">
      <calculatedColumnFormula>Impostos[[#This Row],[Custo previsto]]-Impostos[[#This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720F351A-28EA-4FD1-92E3-AA5405E39B65}" name="CuidadosPessoais4973" displayName="CuidadosPessoais4973" ref="A55:D63" totalsRowCount="1">
  <autoFilter ref="A55:D62" xr:uid="{720F351A-28EA-4FD1-92E3-AA5405E39B65}"/>
  <tableColumns count="4">
    <tableColumn id="1" xr3:uid="{E2D5E474-A1FA-4F51-826D-ED35CAB801BF}" name="CUIDADOS PESSOAIS" totalsRowLabel="Subtotal"/>
    <tableColumn id="2" xr3:uid="{0BF7C959-4013-4530-BE6B-2F0B17C43772}" name="Custo previsto" dataDxfId="558"/>
    <tableColumn id="3" xr3:uid="{9CF89540-6EF0-4F35-8AE0-B7E3E432F069}" name="Custo Real" dataDxfId="557"/>
    <tableColumn id="4" xr3:uid="{C3680C7A-98AB-46C0-900C-4DCA7FAA331A}" name="Diferença" totalsRowFunction="sum" dataDxfId="556">
      <calculatedColumnFormula>CuidadosPessoais4973[[#This Row],[Custo previsto]]-CuidadosPessoais4973[[#This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2C83A429-6B70-4CE6-BE1E-714E5D9520A8}" name="Moradia3874" displayName="Moradia3874" ref="A11:D22" totalsRowCount="1">
  <autoFilter ref="A11:D21" xr:uid="{2C83A429-6B70-4CE6-BE1E-714E5D9520A8}"/>
  <tableColumns count="4">
    <tableColumn id="1" xr3:uid="{476791CB-60D0-4583-8BBB-67FBFC41B985}" name="MORADIA" totalsRowLabel="Subtotal"/>
    <tableColumn id="2" xr3:uid="{3373D766-93F0-4335-8BD9-2E94E496AE03}" name="Custo previsto" dataDxfId="555"/>
    <tableColumn id="3" xr3:uid="{AD023192-C40D-461C-8CD4-6886410CA2EC}" name="Custo Real" dataDxfId="554"/>
    <tableColumn id="4" xr3:uid="{77FE63F4-B326-48BE-9AF0-53A9408B1524}" name="Diferença" totalsRowFunction="sum" dataDxfId="553">
      <calculatedColumnFormula>Moradia3874[[#This Row],[Custo previsto]]-Moradia3874[[#This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482E9A06-F997-4811-9686-6FD8FE078CDB}" name="Entretenimento3975" displayName="Entretenimento3975" ref="F11:I21" totalsRowCount="1" headerRowCellStyle="Normal">
  <autoFilter ref="F11:I20" xr:uid="{482E9A06-F997-4811-9686-6FD8FE078CDB}"/>
  <tableColumns count="4">
    <tableColumn id="1" xr3:uid="{936B1791-6EF3-4F09-A86A-1EFF8A0EF611}" name="ENTRETENIMENTO" totalsRowLabel="Subtotal"/>
    <tableColumn id="2" xr3:uid="{E5B2F1B9-3414-453B-9F10-DD05F2648DC5}" name="Custo previsto" dataDxfId="551" totalsRowDxfId="552"/>
    <tableColumn id="3" xr3:uid="{EC1A1904-3258-4C05-99E8-5A52499BD8F1}" name="Custo Real" dataDxfId="549" totalsRowDxfId="550"/>
    <tableColumn id="4" xr3:uid="{3196A477-FDB2-4DCE-ABFE-9665BC3DA701}" name="Diferença" totalsRowFunction="sum" dataDxfId="547" totalsRowDxfId="548">
      <calculatedColumnFormula>Entretenimento3975[[#This Row],[Custo previsto]]-Entretenimento3975[[#This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DE4631AD-3828-4881-BAD2-A422AC644BA5}" name="Empréstimos4076" displayName="Empréstimos4076" ref="F23:I30" totalsRowCount="1">
  <autoFilter ref="F23:I29" xr:uid="{DE4631AD-3828-4881-BAD2-A422AC644BA5}"/>
  <tableColumns count="4">
    <tableColumn id="1" xr3:uid="{39DF24BB-5387-4EE3-B8F8-12E512F63619}" name="EMPRÉSTIMOS" totalsRowLabel="Subtotal"/>
    <tableColumn id="2" xr3:uid="{4E08F2AF-1BB1-437B-8AF5-DEBC8799E170}" name="Custo previsto" dataDxfId="545" totalsRowDxfId="546"/>
    <tableColumn id="3" xr3:uid="{23F9D1BA-FD11-491B-85F7-EADF58430697}" name="Custo Real" dataDxfId="543" totalsRowDxfId="544"/>
    <tableColumn id="4" xr3:uid="{48A75410-354A-473D-ADEB-536584619505}" name="Diferença" totalsRowFunction="sum" dataDxfId="541" totalsRowDxfId="542">
      <calculatedColumnFormula>Empréstimos4076[[#This Row],[Custo previsto]]-Empréstimos4076[[#This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F2C69D7-F83D-4CF8-AC65-C9AD8BAA23B9}" name="Transporte4177" displayName="Transporte4177" ref="A24:D32" totalsRowCount="1" headerRowCellStyle="Normal">
  <autoFilter ref="A24:D31" xr:uid="{DF2C69D7-F83D-4CF8-AC65-C9AD8BAA23B9}"/>
  <tableColumns count="4">
    <tableColumn id="1" xr3:uid="{3044E962-EEBD-4A8C-8957-B09502776DBD}" name="TRANSPORTE" totalsRowLabel="Subtotal"/>
    <tableColumn id="2" xr3:uid="{CAD43CEF-4379-4DCF-8126-2E538A137EBB}" name="Custo previsto" dataDxfId="539" totalsRowDxfId="540"/>
    <tableColumn id="3" xr3:uid="{7BAB953F-E371-46F1-87C7-60D302E8D43B}" name="Custo Real" dataDxfId="537" totalsRowDxfId="538"/>
    <tableColumn id="4" xr3:uid="{AC64CC7E-7C3C-432D-8230-54C4BDB75A07}" name="Diferença" totalsRowFunction="sum" dataDxfId="535" totalsRowDxfId="536">
      <calculatedColumnFormula>Transporte4177[[#This Row],[Custo previsto]]-Transporte4177[[#This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8AA34D04-C0EA-40D4-A52D-B05060154A48}" name="Seguro4278" displayName="Seguro4278" ref="A34:D39" totalsRowCount="1" headerRowCellStyle="Normal">
  <autoFilter ref="A34:D38" xr:uid="{8AA34D04-C0EA-40D4-A52D-B05060154A48}"/>
  <tableColumns count="4">
    <tableColumn id="1" xr3:uid="{65E92D9F-1C26-44F2-93EF-6A28A76BC48C}" name="SEGURO" totalsRowLabel="Subtotal"/>
    <tableColumn id="2" xr3:uid="{1B197FA7-99C8-470E-B2EF-64897E949957}" name="Custo previsto" dataDxfId="533" totalsRowDxfId="534"/>
    <tableColumn id="3" xr3:uid="{AAADB3E5-5DFD-4D59-93CF-A111360041D5}" name="Custo Real" dataDxfId="531" totalsRowDxfId="532"/>
    <tableColumn id="4" xr3:uid="{9BBE89C4-817B-4212-8ACB-BFB486CA494C}" name="Diferença" totalsRowFunction="sum" dataDxfId="529" totalsRowDxfId="530">
      <calculatedColumnFormula>Seguro4278[[#This Row],[Custo previsto]]-Seguro4278[[#This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5311F5AE-D102-4D1F-B01E-DFCFEE14959F}" name="Impostos4379" displayName="Impostos4379" ref="F32:I37" totalsRowCount="1" headerRowCellStyle="Normal">
  <autoFilter ref="F32:I36" xr:uid="{5311F5AE-D102-4D1F-B01E-DFCFEE14959F}"/>
  <tableColumns count="4">
    <tableColumn id="1" xr3:uid="{C647233F-49A3-47FF-A7C5-CDC7BCE8D0A9}" name="IMPOSTOS" totalsRowLabel="Subtotal"/>
    <tableColumn id="2" xr3:uid="{34816CE2-7316-4740-B2C7-BDFA4C3ECC9C}" name="Custo previsto" dataDxfId="527" totalsRowDxfId="528"/>
    <tableColumn id="3" xr3:uid="{36876F9C-1DE1-449A-BEFF-9A727F29E0CE}" name="Custo Real" dataDxfId="525" totalsRowDxfId="526"/>
    <tableColumn id="4" xr3:uid="{84730F0D-5C11-46D9-B084-DE0FDDEC4A61}" name="Diferença" totalsRowFunction="sum" dataDxfId="523" totalsRowDxfId="524">
      <calculatedColumnFormula>Impostos4379[[#This Row],[Custo previsto]]-Impostos4379[[#This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E791B604-BFEC-4432-8FB3-52699B45AAB3}" name="Poupança4480" displayName="Poupança4480" ref="F39:I43" totalsRowCount="1" headerRowCellStyle="Normal">
  <autoFilter ref="F39:I42" xr:uid="{E791B604-BFEC-4432-8FB3-52699B45AAB3}"/>
  <tableColumns count="4">
    <tableColumn id="1" xr3:uid="{5B080DBF-B529-4233-BD9C-7447EEA39394}" name="POUPANÇAS OU INVESTIMENTOS" totalsRowLabel="Subtotal"/>
    <tableColumn id="2" xr3:uid="{0DCE9CF1-4C40-48AE-8C37-B59DE3E0E1AD}" name="Custo previsto" dataDxfId="521" totalsRowDxfId="522"/>
    <tableColumn id="3" xr3:uid="{22F9824D-F87A-432A-A3C1-C7BB3A2E7C85}" name="Custo Real" dataDxfId="519" totalsRowDxfId="520"/>
    <tableColumn id="4" xr3:uid="{2E9227FC-2D08-4DE6-8CDC-65F19D3C19E9}" name="Diferença" totalsRowFunction="sum" dataDxfId="517" totalsRowDxfId="518">
      <calculatedColumnFormula>Poupança4480[[#This Row],[Custo previsto]]-Poupança4480[[#This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B580A775-F6D9-4316-AEE6-3CE891150374}" name="Alimentação4581" displayName="Alimentação4581" ref="A41:D45" totalsRowCount="1" headerRowCellStyle="Normal">
  <autoFilter ref="A41:D44" xr:uid="{B580A775-F6D9-4316-AEE6-3CE891150374}"/>
  <tableColumns count="4">
    <tableColumn id="1" xr3:uid="{06B99501-4D02-4243-8561-479393B147AF}" name="ALIMENTAÇÃO" totalsRowLabel="Subtotal"/>
    <tableColumn id="2" xr3:uid="{7C2BA094-5A6B-4183-9AC3-33C3506B1E9E}" name="Custo previsto" dataDxfId="515" totalsRowDxfId="516"/>
    <tableColumn id="3" xr3:uid="{1AA6C917-FE20-4B38-8B46-1F117895B80D}" name="Custo Real" dataDxfId="513" totalsRowDxfId="514"/>
    <tableColumn id="4" xr3:uid="{CA3446A6-A6E2-4283-9EEE-20A7BCE4840A}" name="Diferença" totalsRowFunction="sum" dataDxfId="511" totalsRowDxfId="512">
      <calculatedColumnFormula>Alimentação4581[[#This Row],[Custo previsto]]-Alimentação4581[[#This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7DCB5F4-8B10-461C-927F-391B60BF70DC}" name="Presentes4682" displayName="Presentes4682" ref="F45:I49" totalsRowCount="1" headerRowCellStyle="Normal">
  <autoFilter ref="F45:I48" xr:uid="{07DCB5F4-8B10-461C-927F-391B60BF70DC}"/>
  <tableColumns count="4">
    <tableColumn id="1" xr3:uid="{EDB39F64-DCC5-42E4-B13C-8C5135D9B042}" name="PRESENTES E DOAÇÕES" totalsRowLabel="Subtotal"/>
    <tableColumn id="2" xr3:uid="{C08DAFC0-8651-4B03-8973-0397D4168719}" name="Custo previsto" dataDxfId="509" totalsRowDxfId="510"/>
    <tableColumn id="3" xr3:uid="{488EA70B-57FA-403C-A649-149F289A3670}" name="Custo Real" dataDxfId="507" totalsRowDxfId="508"/>
    <tableColumn id="4" xr3:uid="{94B5040C-BCE3-460D-BC64-A4CD7F942AFE}" name="Diferença" totalsRowFunction="sum" dataDxfId="505" totalsRowDxfId="506">
      <calculatedColumnFormula>Presentes4682[[#This Row],[Custo previsto]]-Presentes4682[[#This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Poupança" displayName="Poupança" ref="F39:I43" totalsRowCount="1" headerRowCellStyle="Normal">
  <autoFilter ref="F39:I42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POUPANÇAS OU INVESTIMENTOS" totalsRowLabel="Subtotal"/>
    <tableColumn id="2" xr3:uid="{00000000-0010-0000-0600-000002000000}" name="Custo previsto" dataDxfId="855" totalsRowDxfId="854"/>
    <tableColumn id="3" xr3:uid="{00000000-0010-0000-0600-000003000000}" name="Custo Real" dataDxfId="853" totalsRowDxfId="852"/>
    <tableColumn id="4" xr3:uid="{00000000-0010-0000-0600-000004000000}" name="Diferença" totalsRowFunction="sum" dataDxfId="851" totalsRowDxfId="850">
      <calculatedColumnFormula>Poupança[[#This Row],[Custo previsto]]-Poupança[[#This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C78CFDE0-583E-4212-96E5-6B2AD8F77C7F}" name="Animais_de_estimação4783" displayName="Animais_de_estimação4783" ref="A47:D53" totalsRowCount="1">
  <tableColumns count="4">
    <tableColumn id="1" xr3:uid="{6C4DB1A8-DDA0-46F6-8ECF-141F553CE663}" name="ANIMAIS DE ESTIMAÇÃO" totalsRowLabel="Subtotal"/>
    <tableColumn id="2" xr3:uid="{1C8DF2D7-3ADC-4B5E-85AF-0C12B3940B24}" name="Custo previsto" dataDxfId="503" totalsRowDxfId="504"/>
    <tableColumn id="3" xr3:uid="{7E284DAE-C08A-486E-875E-7347E5D15B8E}" name="Custo Real" dataDxfId="501" totalsRowDxfId="502"/>
    <tableColumn id="4" xr3:uid="{0F1C29BA-1CFE-4CE9-96FB-31D6C75CAF24}" name="Diferença" totalsRowFunction="sum" dataDxfId="499" totalsRowDxfId="500">
      <calculatedColumnFormula>Animais_de_estimação4783[[#This Row],[Custo previsto]]-Animais_de_estimação4783[[#This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EA487EE8-CDED-4D19-91A8-DDC7CCEAC213}" name="Assessoria_jurídica4884" displayName="Assessoria_jurídica4884" ref="F51:I56" totalsRowCount="1" headerRowCellStyle="Normal">
  <tableColumns count="4">
    <tableColumn id="1" xr3:uid="{2B64DF3C-23BB-4764-B192-E6FDDF114D65}" name="ASSESSORIA JURÍDICA" totalsRowLabel="Subtotal"/>
    <tableColumn id="2" xr3:uid="{B9E27E5E-D346-4CB8-8857-0FC61AC93CDD}" name="Custo previsto" dataDxfId="497" totalsRowDxfId="498"/>
    <tableColumn id="3" xr3:uid="{CC7F3A9A-8E90-4D75-B44D-4068445F00D4}" name="Custo Real" dataDxfId="495" totalsRowDxfId="496"/>
    <tableColumn id="4" xr3:uid="{E1EC31A8-1569-47E0-9298-CCE7FF734D2E}" name="Diferença" totalsRowFunction="sum" dataDxfId="493" totalsRowDxfId="494">
      <calculatedColumnFormula>Assessoria_jurídica4884[[#This Row],[Custo previsto]]-Assessoria_jurídica4884[[#This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A008EE98-E50A-48AC-B67B-96D663231A90}" name="CuidadosPessoais4985" displayName="CuidadosPessoais4985" ref="A55:D63" totalsRowCount="1">
  <autoFilter ref="A55:D62" xr:uid="{A008EE98-E50A-48AC-B67B-96D663231A90}"/>
  <tableColumns count="4">
    <tableColumn id="1" xr3:uid="{404A8FE7-5911-49C5-8B59-9AA60D0B9FA0}" name="CUIDADOS PESSOAIS" totalsRowLabel="Subtotal"/>
    <tableColumn id="2" xr3:uid="{D1925917-31CD-4321-885F-C2E6F9B58368}" name="Custo previsto" dataDxfId="492"/>
    <tableColumn id="3" xr3:uid="{D52DCF39-73A7-451D-8F84-9B601106DE37}" name="Custo Real" dataDxfId="491"/>
    <tableColumn id="4" xr3:uid="{87FCCB91-F415-46B7-8EC8-0CC7E30B061B}" name="Diferença" totalsRowFunction="sum" dataDxfId="490">
      <calculatedColumnFormula>CuidadosPessoais4985[[#This Row],[Custo previsto]]-CuidadosPessoais4985[[#This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B4162DCF-91B4-4433-854E-5F037B919F3F}" name="Moradia3886" displayName="Moradia3886" ref="A11:D22" totalsRowCount="1">
  <autoFilter ref="A11:D21" xr:uid="{B4162DCF-91B4-4433-854E-5F037B919F3F}"/>
  <tableColumns count="4">
    <tableColumn id="1" xr3:uid="{6608A81B-E303-4635-B1CB-204C089FB39A}" name="MORADIA" totalsRowLabel="Subtotal"/>
    <tableColumn id="2" xr3:uid="{9611E6D5-3D24-491B-BE49-3AE151743845}" name="Custo previsto" dataDxfId="489"/>
    <tableColumn id="3" xr3:uid="{1A9E2945-8D7B-4B20-A2ED-AC19E94FEF3B}" name="Custo Real" dataDxfId="488"/>
    <tableColumn id="4" xr3:uid="{3CEAEA5C-6BA8-4E09-84C6-206A8B705DE0}" name="Diferença" totalsRowFunction="sum" dataDxfId="487">
      <calculatedColumnFormula>Moradia3886[[#This Row],[Custo previsto]]-Moradia3886[[#This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BBF920F-0D79-4CEC-9F8E-27054FEBAEF8}" name="Entretenimento3987" displayName="Entretenimento3987" ref="F11:I21" totalsRowCount="1" headerRowCellStyle="Normal">
  <autoFilter ref="F11:I20" xr:uid="{6BBF920F-0D79-4CEC-9F8E-27054FEBAEF8}"/>
  <tableColumns count="4">
    <tableColumn id="1" xr3:uid="{A5CBB754-E07E-40A6-8EBF-B28AA0914E35}" name="ENTRETENIMENTO" totalsRowLabel="Subtotal"/>
    <tableColumn id="2" xr3:uid="{87E1FDB1-8BF3-4CD9-A875-5396573E643E}" name="Custo previsto" dataDxfId="485" totalsRowDxfId="486"/>
    <tableColumn id="3" xr3:uid="{06311352-D74C-4DB2-915E-3C79346069AA}" name="Custo Real" dataDxfId="483" totalsRowDxfId="484"/>
    <tableColumn id="4" xr3:uid="{065120E4-4A0C-4996-AB47-2FF88E83110F}" name="Diferença" totalsRowFunction="sum" dataDxfId="481" totalsRowDxfId="482">
      <calculatedColumnFormula>Entretenimento3987[[#This Row],[Custo previsto]]-Entretenimento3987[[#This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CBC56670-D603-46FD-BC14-D7C42706F57E}" name="Empréstimos4088" displayName="Empréstimos4088" ref="F23:I30" totalsRowCount="1">
  <autoFilter ref="F23:I29" xr:uid="{CBC56670-D603-46FD-BC14-D7C42706F57E}"/>
  <tableColumns count="4">
    <tableColumn id="1" xr3:uid="{850DB1AA-6DBF-4B53-A3BF-598328912E20}" name="EMPRÉSTIMOS" totalsRowLabel="Subtotal"/>
    <tableColumn id="2" xr3:uid="{2C4D4333-5CED-4B8B-A62C-1429777FC586}" name="Custo previsto" dataDxfId="479" totalsRowDxfId="480"/>
    <tableColumn id="3" xr3:uid="{B05119BB-B5E8-41AC-8A69-50F786C6926B}" name="Custo Real" dataDxfId="477" totalsRowDxfId="478"/>
    <tableColumn id="4" xr3:uid="{7E86D8F3-BDD0-47A6-9861-CDA7FA749E2E}" name="Diferença" totalsRowFunction="sum" dataDxfId="475" totalsRowDxfId="476">
      <calculatedColumnFormula>Empréstimos4088[[#This Row],[Custo previsto]]-Empréstimos4088[[#This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AAF2FBD8-C0EF-4C1A-82F2-785F69567D5D}" name="Transporte4189" displayName="Transporte4189" ref="A24:D32" totalsRowCount="1" headerRowCellStyle="Normal">
  <autoFilter ref="A24:D31" xr:uid="{AAF2FBD8-C0EF-4C1A-82F2-785F69567D5D}"/>
  <tableColumns count="4">
    <tableColumn id="1" xr3:uid="{1FD7EE13-AE44-4887-9A53-5A1DB9DED31E}" name="TRANSPORTE" totalsRowLabel="Subtotal"/>
    <tableColumn id="2" xr3:uid="{7BC6234F-88D0-480D-A2CE-D9EF8B5550D7}" name="Custo previsto" dataDxfId="473" totalsRowDxfId="474"/>
    <tableColumn id="3" xr3:uid="{B69DA232-D112-4E17-89CC-7724694070D3}" name="Custo Real" dataDxfId="471" totalsRowDxfId="472"/>
    <tableColumn id="4" xr3:uid="{65C59181-3FF3-4B49-A8B1-E46BD592FC11}" name="Diferença" totalsRowFunction="sum" dataDxfId="469" totalsRowDxfId="470">
      <calculatedColumnFormula>Transporte4189[[#This Row],[Custo previsto]]-Transporte4189[[#This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77700A18-069A-446E-A941-78C43FD3E986}" name="Seguro4290" displayName="Seguro4290" ref="A34:D39" totalsRowCount="1" headerRowCellStyle="Normal">
  <autoFilter ref="A34:D38" xr:uid="{77700A18-069A-446E-A941-78C43FD3E986}"/>
  <tableColumns count="4">
    <tableColumn id="1" xr3:uid="{BE868E85-E6CE-4F53-B34D-360E352BCFD4}" name="SEGURO" totalsRowLabel="Subtotal"/>
    <tableColumn id="2" xr3:uid="{D2561CEF-EBC0-4396-B34A-8C4305E345F3}" name="Custo previsto" dataDxfId="467" totalsRowDxfId="468"/>
    <tableColumn id="3" xr3:uid="{0A8EDF45-E5F8-4667-A10C-BF5C3C684E75}" name="Custo Real" dataDxfId="465" totalsRowDxfId="466"/>
    <tableColumn id="4" xr3:uid="{40D5AC63-79EA-46BA-9ACC-5014F6C91B40}" name="Diferença" totalsRowFunction="sum" dataDxfId="463" totalsRowDxfId="464">
      <calculatedColumnFormula>Seguro4290[[#This Row],[Custo previsto]]-Seguro4290[[#This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7BD94E88-6457-4BEF-ADAF-12FE1AB4D83C}" name="Impostos4391" displayName="Impostos4391" ref="F32:I37" totalsRowCount="1" headerRowCellStyle="Normal">
  <autoFilter ref="F32:I36" xr:uid="{7BD94E88-6457-4BEF-ADAF-12FE1AB4D83C}"/>
  <tableColumns count="4">
    <tableColumn id="1" xr3:uid="{07855D83-20CC-4354-9C99-0029A1CC505A}" name="IMPOSTOS" totalsRowLabel="Subtotal"/>
    <tableColumn id="2" xr3:uid="{DF7B2D3C-B382-4C41-98E6-59803CAE06A2}" name="Custo previsto" dataDxfId="461" totalsRowDxfId="462"/>
    <tableColumn id="3" xr3:uid="{15A92B9B-44DF-4BB3-B6FA-C9818D773495}" name="Custo Real" dataDxfId="459" totalsRowDxfId="460"/>
    <tableColumn id="4" xr3:uid="{A9E876EE-8DE9-4768-85A2-B10D50654EB6}" name="Diferença" totalsRowFunction="sum" dataDxfId="457" totalsRowDxfId="458">
      <calculatedColumnFormula>Impostos4391[[#This Row],[Custo previsto]]-Impostos4391[[#This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7B63466-7D56-40A8-99A1-2A5CFC10CA85}" name="Poupança4492" displayName="Poupança4492" ref="F39:I43" totalsRowCount="1" headerRowCellStyle="Normal">
  <autoFilter ref="F39:I42" xr:uid="{A7B63466-7D56-40A8-99A1-2A5CFC10CA85}"/>
  <tableColumns count="4">
    <tableColumn id="1" xr3:uid="{CFA139E2-4EAB-49DD-8FF3-A30D318D986E}" name="POUPANÇAS OU INVESTIMENTOS" totalsRowLabel="Subtotal"/>
    <tableColumn id="2" xr3:uid="{236829C2-F9EF-49CB-B186-B91C65F60988}" name="Custo previsto" dataDxfId="455" totalsRowDxfId="456"/>
    <tableColumn id="3" xr3:uid="{4A382AAB-D1DC-4EB4-A643-902D37246CD2}" name="Custo Real" dataDxfId="453" totalsRowDxfId="454"/>
    <tableColumn id="4" xr3:uid="{69908EF9-1763-4FD6-AE81-C6B9D993B0AA}" name="Diferença" totalsRowFunction="sum" dataDxfId="451" totalsRowDxfId="452">
      <calculatedColumnFormula>Poupança4492[[#This Row],[Custo previsto]]-Poupança4492[[#This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Alimentação" displayName="Alimentação" ref="A41:D45" totalsRowCount="1" headerRowCellStyle="Normal">
  <autoFilter ref="A41:D44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ALIMENTAÇÃO" totalsRowLabel="Subtotal"/>
    <tableColumn id="2" xr3:uid="{00000000-0010-0000-0700-000002000000}" name="Custo previsto" dataDxfId="849" totalsRowDxfId="848"/>
    <tableColumn id="3" xr3:uid="{00000000-0010-0000-0700-000003000000}" name="Custo Real" dataDxfId="847" totalsRowDxfId="846"/>
    <tableColumn id="4" xr3:uid="{00000000-0010-0000-0700-000004000000}" name="Diferença" totalsRowFunction="sum" dataDxfId="845" totalsRowDxfId="844">
      <calculatedColumnFormula>Alimentação[[#This Row],[Custo previsto]]-Alimentação[[#This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393B09AD-A616-4400-BB81-9E3914C867F5}" name="Alimentação4593" displayName="Alimentação4593" ref="A41:D45" totalsRowCount="1" headerRowCellStyle="Normal">
  <autoFilter ref="A41:D44" xr:uid="{393B09AD-A616-4400-BB81-9E3914C867F5}"/>
  <tableColumns count="4">
    <tableColumn id="1" xr3:uid="{179A0220-3FBE-40FB-AD73-43CEEDB52DD8}" name="ALIMENTAÇÃO" totalsRowLabel="Subtotal"/>
    <tableColumn id="2" xr3:uid="{BD8D2B56-5B70-4894-BD71-7A2668613979}" name="Custo previsto" dataDxfId="449" totalsRowDxfId="450"/>
    <tableColumn id="3" xr3:uid="{E4D9A46A-2B6C-4F46-9589-B64A02EE1CCC}" name="Custo Real" dataDxfId="447" totalsRowDxfId="448"/>
    <tableColumn id="4" xr3:uid="{B3549409-CE19-49A6-9866-ECE6270CA1D7}" name="Diferença" totalsRowFunction="sum" dataDxfId="445" totalsRowDxfId="446">
      <calculatedColumnFormula>Alimentação4593[[#This Row],[Custo previsto]]-Alimentação4593[[#This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814A3EC4-568A-4B91-8CE1-6BA467A5D323}" name="Presentes4694" displayName="Presentes4694" ref="F45:I49" totalsRowCount="1" headerRowCellStyle="Normal">
  <autoFilter ref="F45:I48" xr:uid="{814A3EC4-568A-4B91-8CE1-6BA467A5D323}"/>
  <tableColumns count="4">
    <tableColumn id="1" xr3:uid="{A2D922C4-1169-4F70-9155-A7DA1D8020E2}" name="PRESENTES E DOAÇÕES" totalsRowLabel="Subtotal"/>
    <tableColumn id="2" xr3:uid="{A10280C6-553D-4B35-9373-0C99FDC143A7}" name="Custo previsto" dataDxfId="443" totalsRowDxfId="444"/>
    <tableColumn id="3" xr3:uid="{4C58F61A-34D6-492D-AF4A-F339978F3240}" name="Custo Real" dataDxfId="441" totalsRowDxfId="442"/>
    <tableColumn id="4" xr3:uid="{2C40F455-2478-4F69-BE6E-EECFE30F10E7}" name="Diferença" totalsRowFunction="sum" dataDxfId="439" totalsRowDxfId="440">
      <calculatedColumnFormula>Presentes4694[[#This Row],[Custo previsto]]-Presentes4694[[#This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16EB259D-CAB4-4147-8FBB-340032FBAC49}" name="Animais_de_estimação4795" displayName="Animais_de_estimação4795" ref="A47:D53" totalsRowCount="1">
  <tableColumns count="4">
    <tableColumn id="1" xr3:uid="{F5CEF7E0-2D21-40F9-AE48-6F73A9D47EFB}" name="ANIMAIS DE ESTIMAÇÃO" totalsRowLabel="Subtotal"/>
    <tableColumn id="2" xr3:uid="{8748BFAA-B321-4166-BE22-F76412699754}" name="Custo previsto" dataDxfId="437" totalsRowDxfId="438"/>
    <tableColumn id="3" xr3:uid="{F3DEFBE4-AAF9-4A0E-A172-BD52A41B205D}" name="Custo Real" dataDxfId="435" totalsRowDxfId="436"/>
    <tableColumn id="4" xr3:uid="{E8ABAD72-B311-48E0-9F5F-786F73AB1706}" name="Diferença" totalsRowFunction="sum" dataDxfId="433" totalsRowDxfId="434">
      <calculatedColumnFormula>Animais_de_estimação4795[[#This Row],[Custo previsto]]-Animais_de_estimação4795[[#This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96E03FAC-5822-40EB-A3BC-6CF20988FE25}" name="Assessoria_jurídica4896" displayName="Assessoria_jurídica4896" ref="F51:I56" totalsRowCount="1" headerRowCellStyle="Normal">
  <tableColumns count="4">
    <tableColumn id="1" xr3:uid="{F9C32F84-61DF-466D-A94C-AE40160E0FD5}" name="ASSESSORIA JURÍDICA" totalsRowLabel="Subtotal"/>
    <tableColumn id="2" xr3:uid="{B1304715-A81A-40CA-897A-1335EE6E570C}" name="Custo previsto" dataDxfId="431" totalsRowDxfId="432"/>
    <tableColumn id="3" xr3:uid="{F2FC98C3-09F3-4560-92DD-1D11AC5400D5}" name="Custo Real" dataDxfId="429" totalsRowDxfId="430"/>
    <tableColumn id="4" xr3:uid="{CCA78B03-4F89-4798-91EA-16847EBD7581}" name="Diferença" totalsRowFunction="sum" dataDxfId="427" totalsRowDxfId="428">
      <calculatedColumnFormula>Assessoria_jurídica4896[[#This Row],[Custo previsto]]-Assessoria_jurídica4896[[#This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23B5A60F-BF7C-41D3-9BC0-9508D1E987D1}" name="CuidadosPessoais4997" displayName="CuidadosPessoais4997" ref="A55:D63" totalsRowCount="1">
  <autoFilter ref="A55:D62" xr:uid="{23B5A60F-BF7C-41D3-9BC0-9508D1E987D1}"/>
  <tableColumns count="4">
    <tableColumn id="1" xr3:uid="{518759D6-5D23-4055-9EBA-C73105402AC2}" name="CUIDADOS PESSOAIS" totalsRowLabel="Subtotal"/>
    <tableColumn id="2" xr3:uid="{8A070B83-7699-4B8B-908F-21015EA996F5}" name="Custo previsto" dataDxfId="426"/>
    <tableColumn id="3" xr3:uid="{027FB09F-ECF2-4D44-8675-E5A7F3C329BB}" name="Custo Real" dataDxfId="425"/>
    <tableColumn id="4" xr3:uid="{E3B4634F-478C-4797-A6BC-43AEB78E1908}" name="Diferença" totalsRowFunction="sum" dataDxfId="424">
      <calculatedColumnFormula>CuidadosPessoais4997[[#This Row],[Custo previsto]]-CuidadosPessoais4997[[#This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638E313A-65EE-4335-932B-DC72690D4E95}" name="Moradia3898" displayName="Moradia3898" ref="A11:D22" totalsRowCount="1">
  <autoFilter ref="A11:D21" xr:uid="{638E313A-65EE-4335-932B-DC72690D4E95}"/>
  <tableColumns count="4">
    <tableColumn id="1" xr3:uid="{F4720628-3534-4697-9217-79DB912AA2C0}" name="MORADIA" totalsRowLabel="Subtotal"/>
    <tableColumn id="2" xr3:uid="{13FF1E57-7A3E-4ED6-80A8-E9F3C1092A36}" name="Custo previsto" dataDxfId="423"/>
    <tableColumn id="3" xr3:uid="{84F71F5C-4E38-45D9-AE67-D1B4EE215E3B}" name="Custo Real" dataDxfId="422"/>
    <tableColumn id="4" xr3:uid="{41F92CEF-B0D0-4203-9444-72D519D5F127}" name="Diferença" totalsRowFunction="sum" dataDxfId="421">
      <calculatedColumnFormula>Moradia3898[[#This Row],[Custo previsto]]-Moradia3898[[#This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D5969F27-4D7A-4884-A9DA-77E92694B672}" name="Entretenimento3999" displayName="Entretenimento3999" ref="F11:I21" totalsRowCount="1" headerRowCellStyle="Normal">
  <autoFilter ref="F11:I20" xr:uid="{D5969F27-4D7A-4884-A9DA-77E92694B672}"/>
  <tableColumns count="4">
    <tableColumn id="1" xr3:uid="{C68897A6-CDF2-4790-9E8C-667F3D7A9413}" name="ENTRETENIMENTO" totalsRowLabel="Subtotal"/>
    <tableColumn id="2" xr3:uid="{EAA4764F-7082-4850-BB4A-5A47152116DD}" name="Custo previsto" dataDxfId="419" totalsRowDxfId="420"/>
    <tableColumn id="3" xr3:uid="{C340D473-78C2-43D7-8BC1-857784B02796}" name="Custo Real" dataDxfId="417" totalsRowDxfId="418"/>
    <tableColumn id="4" xr3:uid="{D36D4B84-54FD-44CD-A3E2-704017500ABB}" name="Diferença" totalsRowFunction="sum" dataDxfId="415" totalsRowDxfId="416">
      <calculatedColumnFormula>Entretenimento3999[[#This Row],[Custo previsto]]-Entretenimento3999[[#This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CB990F0E-03E2-43BE-B58B-62E6BBCEB40E}" name="Empréstimos40100" displayName="Empréstimos40100" ref="F23:I30" totalsRowCount="1">
  <autoFilter ref="F23:I29" xr:uid="{CB990F0E-03E2-43BE-B58B-62E6BBCEB40E}"/>
  <tableColumns count="4">
    <tableColumn id="1" xr3:uid="{6F9DE8C4-A8D7-4A70-8F93-7DC2AF398D29}" name="EMPRÉSTIMOS" totalsRowLabel="Subtotal"/>
    <tableColumn id="2" xr3:uid="{C91C2338-D4D9-4A61-A955-8698838704BC}" name="Custo previsto" dataDxfId="413" totalsRowDxfId="414"/>
    <tableColumn id="3" xr3:uid="{3C1FDEE5-DDC2-4E1E-859D-8FFCCC69905F}" name="Custo Real" dataDxfId="411" totalsRowDxfId="412"/>
    <tableColumn id="4" xr3:uid="{8A98C7F2-0230-41E3-A144-F4DE1EEBE8A9}" name="Diferença" totalsRowFunction="sum" dataDxfId="409" totalsRowDxfId="410">
      <calculatedColumnFormula>Empréstimos40100[[#This Row],[Custo previsto]]-Empréstimos40100[[#This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93FEBCA8-E29E-4134-863C-C3530C5383F4}" name="Transporte41101" displayName="Transporte41101" ref="A24:D32" totalsRowCount="1" headerRowCellStyle="Normal">
  <autoFilter ref="A24:D31" xr:uid="{93FEBCA8-E29E-4134-863C-C3530C5383F4}"/>
  <tableColumns count="4">
    <tableColumn id="1" xr3:uid="{46FBDB5D-4590-4E80-A215-9F9B5BE6B456}" name="TRANSPORTE" totalsRowLabel="Subtotal"/>
    <tableColumn id="2" xr3:uid="{A2CA4396-EB8D-4DD9-8C50-8EC65B53947E}" name="Custo previsto" dataDxfId="407" totalsRowDxfId="408"/>
    <tableColumn id="3" xr3:uid="{68844F08-9E3C-4FB1-B997-37851CBD3DB4}" name="Custo Real" dataDxfId="405" totalsRowDxfId="406"/>
    <tableColumn id="4" xr3:uid="{AE5F4FBF-6525-48C1-9FA4-6F3700964B5D}" name="Diferença" totalsRowFunction="sum" dataDxfId="403" totalsRowDxfId="404">
      <calculatedColumnFormula>Transporte41101[[#This Row],[Custo previsto]]-Transporte41101[[#This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8E48850D-1517-40FB-BF94-7323E8B11334}" name="Seguro42102" displayName="Seguro42102" ref="A34:D39" totalsRowCount="1" headerRowCellStyle="Normal">
  <autoFilter ref="A34:D38" xr:uid="{8E48850D-1517-40FB-BF94-7323E8B11334}"/>
  <tableColumns count="4">
    <tableColumn id="1" xr3:uid="{3D8D29F3-1D98-4EED-81A3-FD0486C59691}" name="SEGURO" totalsRowLabel="Subtotal"/>
    <tableColumn id="2" xr3:uid="{7B34F011-C49D-4C3E-9270-C6B31B9FE587}" name="Custo previsto" dataDxfId="401" totalsRowDxfId="402"/>
    <tableColumn id="3" xr3:uid="{5C4145E4-8DB6-4740-920A-868FA0F2E966}" name="Custo Real" dataDxfId="399" totalsRowDxfId="400"/>
    <tableColumn id="4" xr3:uid="{8BCFFB2D-1F74-41E8-9B6E-EA89064236C1}" name="Diferença" totalsRowFunction="sum" dataDxfId="397" totalsRowDxfId="398">
      <calculatedColumnFormula>Seguro42102[[#This Row],[Custo previsto]]-Seguro42102[[#This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Presentes" displayName="Presentes" ref="F45:I49" totalsRowCount="1" headerRowCellStyle="Normal">
  <autoFilter ref="F45:I4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PRESENTES E DOAÇÕES" totalsRowLabel="Subtotal"/>
    <tableColumn id="2" xr3:uid="{00000000-0010-0000-0800-000002000000}" name="Custo previsto" dataDxfId="843" totalsRowDxfId="842"/>
    <tableColumn id="3" xr3:uid="{00000000-0010-0000-0800-000003000000}" name="Custo Real" dataDxfId="841" totalsRowDxfId="840"/>
    <tableColumn id="4" xr3:uid="{00000000-0010-0000-0800-000004000000}" name="Diferença" totalsRowFunction="sum" dataDxfId="839" totalsRowDxfId="838">
      <calculatedColumnFormula>Presentes[[#This Row],[Custo previsto]]-Presentes[[#This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3C69E61A-A1F5-4B43-A887-0B27084E3CC8}" name="Impostos43103" displayName="Impostos43103" ref="F32:I37" totalsRowCount="1" headerRowCellStyle="Normal">
  <autoFilter ref="F32:I36" xr:uid="{3C69E61A-A1F5-4B43-A887-0B27084E3CC8}"/>
  <tableColumns count="4">
    <tableColumn id="1" xr3:uid="{3E8C4ADA-5914-4C1E-A3B3-F4A169F16622}" name="IMPOSTOS" totalsRowLabel="Subtotal"/>
    <tableColumn id="2" xr3:uid="{99619F11-BE39-4ADF-B687-F27FC8AB7CE6}" name="Custo previsto" dataDxfId="395" totalsRowDxfId="396"/>
    <tableColumn id="3" xr3:uid="{EAAA0C83-831E-4D88-BBF2-36E1FF154CB1}" name="Custo Real" dataDxfId="393" totalsRowDxfId="394"/>
    <tableColumn id="4" xr3:uid="{3D4D10F9-792B-4306-822B-E1F20C6A7FE0}" name="Diferença" totalsRowFunction="sum" dataDxfId="391" totalsRowDxfId="392">
      <calculatedColumnFormula>Impostos43103[[#This Row],[Custo previsto]]-Impostos43103[[#This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8AE56F0B-10E9-48FC-BA82-49B0FF359B75}" name="Poupança44104" displayName="Poupança44104" ref="F39:I43" totalsRowCount="1" headerRowCellStyle="Normal">
  <autoFilter ref="F39:I42" xr:uid="{8AE56F0B-10E9-48FC-BA82-49B0FF359B75}"/>
  <tableColumns count="4">
    <tableColumn id="1" xr3:uid="{E2E73156-B966-4E5E-9370-E981DDB56FB7}" name="POUPANÇAS OU INVESTIMENTOS" totalsRowLabel="Subtotal"/>
    <tableColumn id="2" xr3:uid="{D40B2E24-AC66-4386-AFC8-2B8F81C832D5}" name="Custo previsto" dataDxfId="389" totalsRowDxfId="390"/>
    <tableColumn id="3" xr3:uid="{D7644FAF-740E-43DE-AEFE-00F52E450A48}" name="Custo Real" dataDxfId="387" totalsRowDxfId="388"/>
    <tableColumn id="4" xr3:uid="{90416850-9175-459D-ABB6-C172A0A2FF54}" name="Diferença" totalsRowFunction="sum" dataDxfId="385" totalsRowDxfId="386">
      <calculatedColumnFormula>Poupança44104[[#This Row],[Custo previsto]]-Poupança44104[[#This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FD1CB605-0009-4C4D-805B-256329C06EA8}" name="Alimentação45105" displayName="Alimentação45105" ref="A41:D45" totalsRowCount="1" headerRowCellStyle="Normal">
  <autoFilter ref="A41:D44" xr:uid="{FD1CB605-0009-4C4D-805B-256329C06EA8}"/>
  <tableColumns count="4">
    <tableColumn id="1" xr3:uid="{F1A6194F-71B5-4831-B2C7-2C33CDE673C3}" name="ALIMENTAÇÃO" totalsRowLabel="Subtotal"/>
    <tableColumn id="2" xr3:uid="{24C45DFD-2FE0-41DB-BAF3-1B1F23AEA17B}" name="Custo previsto" dataDxfId="383" totalsRowDxfId="384"/>
    <tableColumn id="3" xr3:uid="{FB3F159B-0D7F-4E35-945C-1AE69F1DBAAA}" name="Custo Real" dataDxfId="381" totalsRowDxfId="382"/>
    <tableColumn id="4" xr3:uid="{60626AE5-E707-4FAF-AE1B-26F0B1839778}" name="Diferença" totalsRowFunction="sum" dataDxfId="379" totalsRowDxfId="380">
      <calculatedColumnFormula>Alimentação45105[[#This Row],[Custo previsto]]-Alimentação45105[[#This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5C9BCCC7-8814-4E0F-8C90-B066872DD82F}" name="Presentes46106" displayName="Presentes46106" ref="F45:I49" totalsRowCount="1" headerRowCellStyle="Normal">
  <autoFilter ref="F45:I48" xr:uid="{5C9BCCC7-8814-4E0F-8C90-B066872DD82F}"/>
  <tableColumns count="4">
    <tableColumn id="1" xr3:uid="{74E43AC4-9016-496E-BC56-7BD140D7EFE8}" name="PRESENTES E DOAÇÕES" totalsRowLabel="Subtotal"/>
    <tableColumn id="2" xr3:uid="{183350E5-F10B-492C-8D20-1E53EC06739A}" name="Custo previsto" dataDxfId="377" totalsRowDxfId="378"/>
    <tableColumn id="3" xr3:uid="{A00F7C23-2133-4147-9D3B-5F1A6B952DC4}" name="Custo Real" dataDxfId="375" totalsRowDxfId="376"/>
    <tableColumn id="4" xr3:uid="{85BFA7FD-7732-4E1B-8FF1-99FCC9C2E043}" name="Diferença" totalsRowFunction="sum" dataDxfId="373" totalsRowDxfId="374">
      <calculatedColumnFormula>Presentes46106[[#This Row],[Custo previsto]]-Presentes46106[[#This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presentes e doações nesta tabela. A diferença é calculada automaticamente"/>
    </ext>
  </extLst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D34A604E-0FC1-4E26-9F46-32D1711C2F27}" name="Animais_de_estimação47107" displayName="Animais_de_estimação47107" ref="A47:D53" totalsRowCount="1">
  <tableColumns count="4">
    <tableColumn id="1" xr3:uid="{7B3820E5-37B9-4232-92B8-37538B274B0C}" name="ANIMAIS DE ESTIMAÇÃO" totalsRowLabel="Subtotal"/>
    <tableColumn id="2" xr3:uid="{7E54CB94-1BCB-44DC-8A4D-5E7C4D0A8312}" name="Custo previsto" dataDxfId="371" totalsRowDxfId="372"/>
    <tableColumn id="3" xr3:uid="{4B7AC992-CD46-486C-87B3-F08EF8D3A131}" name="Custo Real" dataDxfId="369" totalsRowDxfId="370"/>
    <tableColumn id="4" xr3:uid="{1895E682-5999-43A3-AD6C-D98B3B5089AA}" name="Diferença" totalsRowFunction="sum" dataDxfId="367" totalsRowDxfId="368">
      <calculatedColumnFormula>Animais_de_estimação47107[[#This Row],[Custo previsto]]-Animais_de_estimação47107[[#This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797000D3-4A73-4C29-8F66-6A17BC012168}" name="Assessoria_jurídica48108" displayName="Assessoria_jurídica48108" ref="F51:I56" totalsRowCount="1" headerRowCellStyle="Normal">
  <tableColumns count="4">
    <tableColumn id="1" xr3:uid="{B099A3F3-56B5-4365-A2D2-D4D6DB64879E}" name="ASSESSORIA JURÍDICA" totalsRowLabel="Subtotal"/>
    <tableColumn id="2" xr3:uid="{A929535B-A984-4498-985B-D3436387F74C}" name="Custo previsto" dataDxfId="365" totalsRowDxfId="366"/>
    <tableColumn id="3" xr3:uid="{D0D83020-E015-48FB-A97D-171730BE932C}" name="Custo Real" dataDxfId="363" totalsRowDxfId="364"/>
    <tableColumn id="4" xr3:uid="{D6C5E2AA-8A85-4B3F-BE0F-EA09676EA83C}" name="Diferença" totalsRowFunction="sum" dataDxfId="361" totalsRowDxfId="362">
      <calculatedColumnFormula>Assessoria_jurídica48108[[#This Row],[Custo previsto]]-Assessoria_jurídica48108[[#This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ssessoria jurídica nesta tabela. A diferença é calculada automaticamente"/>
    </ext>
  </extLst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7D9DC87C-EB58-40F0-8171-4532B20ED46C}" name="CuidadosPessoais49109" displayName="CuidadosPessoais49109" ref="A55:D63" totalsRowCount="1">
  <autoFilter ref="A55:D62" xr:uid="{7D9DC87C-EB58-40F0-8171-4532B20ED46C}"/>
  <tableColumns count="4">
    <tableColumn id="1" xr3:uid="{970B6A9D-08B0-4D17-BB6E-35A21618BD1E}" name="CUIDADOS PESSOAIS" totalsRowLabel="Subtotal"/>
    <tableColumn id="2" xr3:uid="{BA9A5D9F-6756-4C8C-B295-DC6109926BCC}" name="Custo previsto" dataDxfId="360"/>
    <tableColumn id="3" xr3:uid="{9043B52F-C880-4CCE-92FC-E6A97A92636E}" name="Custo Real" dataDxfId="359"/>
    <tableColumn id="4" xr3:uid="{08F7BECE-C3BE-472F-83C2-F07B3B0EE594}" name="Diferença" totalsRowFunction="sum" dataDxfId="358">
      <calculatedColumnFormula>CuidadosPessoais49109[[#This Row],[Custo previsto]]-CuidadosPessoais49109[[#This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19718A3E-8E1E-49F2-B48C-EF2C5F968096}" name="Moradia38110" displayName="Moradia38110" ref="A11:D22" totalsRowCount="1">
  <autoFilter ref="A11:D21" xr:uid="{19718A3E-8E1E-49F2-B48C-EF2C5F968096}"/>
  <tableColumns count="4">
    <tableColumn id="1" xr3:uid="{E15F6E8C-4CB8-441A-A3CB-44A27145D911}" name="MORADIA" totalsRowLabel="Subtotal"/>
    <tableColumn id="2" xr3:uid="{4D79090F-00D1-4EB6-ADE1-05D4AAEDDF5E}" name="Custo previsto" dataDxfId="357"/>
    <tableColumn id="3" xr3:uid="{03902B8D-AC59-4BE8-A0F9-5565DE262CA9}" name="Custo Real" dataDxfId="356"/>
    <tableColumn id="4" xr3:uid="{6C03251B-3584-4E9B-8E5B-AAC69A188BE4}" name="Diferença" totalsRowFunction="sum" dataDxfId="355">
      <calculatedColumnFormula>Moradia38110[[#This Row],[Custo previsto]]-Moradia38110[[#This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25F1A8FA-3F06-49D9-8714-CC5E76CC2419}" name="Entretenimento39111" displayName="Entretenimento39111" ref="F11:I21" totalsRowCount="1" headerRowCellStyle="Normal">
  <autoFilter ref="F11:I20" xr:uid="{25F1A8FA-3F06-49D9-8714-CC5E76CC2419}"/>
  <tableColumns count="4">
    <tableColumn id="1" xr3:uid="{DE60EA6C-F6E9-4005-860D-FD355A168978}" name="ENTRETENIMENTO" totalsRowLabel="Subtotal"/>
    <tableColumn id="2" xr3:uid="{716DB570-37BC-47DB-A677-7F09FB53E5CF}" name="Custo previsto" dataDxfId="353" totalsRowDxfId="354"/>
    <tableColumn id="3" xr3:uid="{B1111A09-5FB5-49CE-86C6-E73C34D448D9}" name="Custo Real" dataDxfId="351" totalsRowDxfId="352"/>
    <tableColumn id="4" xr3:uid="{CA887032-E976-4C9B-A4AF-E02CCA5D7E2B}" name="Diferença" totalsRowFunction="sum" dataDxfId="349" totalsRowDxfId="350">
      <calculatedColumnFormula>Entretenimento39111[[#This Row],[Custo previsto]]-Entretenimento39111[[#This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2FFE783-2603-41C3-9002-FCB5CB1B7F04}" name="Empréstimos40112" displayName="Empréstimos40112" ref="F23:I30" totalsRowCount="1">
  <autoFilter ref="F23:I29" xr:uid="{A2FFE783-2603-41C3-9002-FCB5CB1B7F04}"/>
  <tableColumns count="4">
    <tableColumn id="1" xr3:uid="{9CA9462C-0159-49B0-A465-6F88ED69E293}" name="EMPRÉSTIMOS" totalsRowLabel="Subtotal"/>
    <tableColumn id="2" xr3:uid="{63B64748-1474-4806-B7DD-2A7E21A02954}" name="Custo previsto" dataDxfId="347" totalsRowDxfId="348"/>
    <tableColumn id="3" xr3:uid="{51EFD2BC-8189-4AC9-830C-70A5DCE1C47F}" name="Custo Real" dataDxfId="345" totalsRowDxfId="346"/>
    <tableColumn id="4" xr3:uid="{13FEE4AD-9C93-4C9B-877C-8AE3C10A09FD}" name="Diferença" totalsRowFunction="sum" dataDxfId="343" totalsRowDxfId="344">
      <calculatedColumnFormula>Empréstimos40112[[#This Row],[Custo previsto]]-Empréstimos40112[[#This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4.xml"/><Relationship Id="rId3" Type="http://schemas.openxmlformats.org/officeDocument/2006/relationships/table" Target="../tables/table99.xml"/><Relationship Id="rId7" Type="http://schemas.openxmlformats.org/officeDocument/2006/relationships/table" Target="../tables/table103.xml"/><Relationship Id="rId12" Type="http://schemas.openxmlformats.org/officeDocument/2006/relationships/table" Target="../tables/table108.xml"/><Relationship Id="rId2" Type="http://schemas.openxmlformats.org/officeDocument/2006/relationships/table" Target="../tables/table98.xml"/><Relationship Id="rId1" Type="http://schemas.openxmlformats.org/officeDocument/2006/relationships/table" Target="../tables/table97.xml"/><Relationship Id="rId6" Type="http://schemas.openxmlformats.org/officeDocument/2006/relationships/table" Target="../tables/table102.xml"/><Relationship Id="rId11" Type="http://schemas.openxmlformats.org/officeDocument/2006/relationships/table" Target="../tables/table107.xml"/><Relationship Id="rId5" Type="http://schemas.openxmlformats.org/officeDocument/2006/relationships/table" Target="../tables/table101.xml"/><Relationship Id="rId10" Type="http://schemas.openxmlformats.org/officeDocument/2006/relationships/table" Target="../tables/table106.xml"/><Relationship Id="rId4" Type="http://schemas.openxmlformats.org/officeDocument/2006/relationships/table" Target="../tables/table100.xml"/><Relationship Id="rId9" Type="http://schemas.openxmlformats.org/officeDocument/2006/relationships/table" Target="../tables/table105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6.xml"/><Relationship Id="rId3" Type="http://schemas.openxmlformats.org/officeDocument/2006/relationships/table" Target="../tables/table111.xml"/><Relationship Id="rId7" Type="http://schemas.openxmlformats.org/officeDocument/2006/relationships/table" Target="../tables/table115.xml"/><Relationship Id="rId12" Type="http://schemas.openxmlformats.org/officeDocument/2006/relationships/table" Target="../tables/table120.xml"/><Relationship Id="rId2" Type="http://schemas.openxmlformats.org/officeDocument/2006/relationships/table" Target="../tables/table110.xml"/><Relationship Id="rId1" Type="http://schemas.openxmlformats.org/officeDocument/2006/relationships/table" Target="../tables/table109.xml"/><Relationship Id="rId6" Type="http://schemas.openxmlformats.org/officeDocument/2006/relationships/table" Target="../tables/table114.xml"/><Relationship Id="rId11" Type="http://schemas.openxmlformats.org/officeDocument/2006/relationships/table" Target="../tables/table119.xml"/><Relationship Id="rId5" Type="http://schemas.openxmlformats.org/officeDocument/2006/relationships/table" Target="../tables/table113.xml"/><Relationship Id="rId10" Type="http://schemas.openxmlformats.org/officeDocument/2006/relationships/table" Target="../tables/table118.xml"/><Relationship Id="rId4" Type="http://schemas.openxmlformats.org/officeDocument/2006/relationships/table" Target="../tables/table112.xml"/><Relationship Id="rId9" Type="http://schemas.openxmlformats.org/officeDocument/2006/relationships/table" Target="../tables/table117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8.xml"/><Relationship Id="rId3" Type="http://schemas.openxmlformats.org/officeDocument/2006/relationships/table" Target="../tables/table123.xml"/><Relationship Id="rId7" Type="http://schemas.openxmlformats.org/officeDocument/2006/relationships/table" Target="../tables/table127.xml"/><Relationship Id="rId12" Type="http://schemas.openxmlformats.org/officeDocument/2006/relationships/table" Target="../tables/table132.xml"/><Relationship Id="rId2" Type="http://schemas.openxmlformats.org/officeDocument/2006/relationships/table" Target="../tables/table122.xml"/><Relationship Id="rId1" Type="http://schemas.openxmlformats.org/officeDocument/2006/relationships/table" Target="../tables/table121.xml"/><Relationship Id="rId6" Type="http://schemas.openxmlformats.org/officeDocument/2006/relationships/table" Target="../tables/table126.xml"/><Relationship Id="rId11" Type="http://schemas.openxmlformats.org/officeDocument/2006/relationships/table" Target="../tables/table131.xml"/><Relationship Id="rId5" Type="http://schemas.openxmlformats.org/officeDocument/2006/relationships/table" Target="../tables/table125.xml"/><Relationship Id="rId10" Type="http://schemas.openxmlformats.org/officeDocument/2006/relationships/table" Target="../tables/table130.xml"/><Relationship Id="rId4" Type="http://schemas.openxmlformats.org/officeDocument/2006/relationships/table" Target="../tables/table124.xml"/><Relationship Id="rId9" Type="http://schemas.openxmlformats.org/officeDocument/2006/relationships/table" Target="../tables/table12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0.xml"/><Relationship Id="rId3" Type="http://schemas.openxmlformats.org/officeDocument/2006/relationships/table" Target="../tables/table135.xml"/><Relationship Id="rId7" Type="http://schemas.openxmlformats.org/officeDocument/2006/relationships/table" Target="../tables/table139.xml"/><Relationship Id="rId12" Type="http://schemas.openxmlformats.org/officeDocument/2006/relationships/table" Target="../tables/table144.xml"/><Relationship Id="rId2" Type="http://schemas.openxmlformats.org/officeDocument/2006/relationships/table" Target="../tables/table134.xml"/><Relationship Id="rId1" Type="http://schemas.openxmlformats.org/officeDocument/2006/relationships/table" Target="../tables/table133.xml"/><Relationship Id="rId6" Type="http://schemas.openxmlformats.org/officeDocument/2006/relationships/table" Target="../tables/table138.xml"/><Relationship Id="rId11" Type="http://schemas.openxmlformats.org/officeDocument/2006/relationships/table" Target="../tables/table143.xml"/><Relationship Id="rId5" Type="http://schemas.openxmlformats.org/officeDocument/2006/relationships/table" Target="../tables/table137.xml"/><Relationship Id="rId10" Type="http://schemas.openxmlformats.org/officeDocument/2006/relationships/table" Target="../tables/table142.xml"/><Relationship Id="rId4" Type="http://schemas.openxmlformats.org/officeDocument/2006/relationships/table" Target="../tables/table136.xml"/><Relationship Id="rId9" Type="http://schemas.openxmlformats.org/officeDocument/2006/relationships/table" Target="../tables/table141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2.xml"/><Relationship Id="rId3" Type="http://schemas.openxmlformats.org/officeDocument/2006/relationships/table" Target="../tables/table147.xml"/><Relationship Id="rId7" Type="http://schemas.openxmlformats.org/officeDocument/2006/relationships/table" Target="../tables/table151.xml"/><Relationship Id="rId12" Type="http://schemas.openxmlformats.org/officeDocument/2006/relationships/table" Target="../tables/table156.xml"/><Relationship Id="rId2" Type="http://schemas.openxmlformats.org/officeDocument/2006/relationships/table" Target="../tables/table146.xml"/><Relationship Id="rId1" Type="http://schemas.openxmlformats.org/officeDocument/2006/relationships/table" Target="../tables/table145.xml"/><Relationship Id="rId6" Type="http://schemas.openxmlformats.org/officeDocument/2006/relationships/table" Target="../tables/table150.xml"/><Relationship Id="rId11" Type="http://schemas.openxmlformats.org/officeDocument/2006/relationships/table" Target="../tables/table155.xml"/><Relationship Id="rId5" Type="http://schemas.openxmlformats.org/officeDocument/2006/relationships/table" Target="../tables/table149.xml"/><Relationship Id="rId10" Type="http://schemas.openxmlformats.org/officeDocument/2006/relationships/table" Target="../tables/table154.xml"/><Relationship Id="rId4" Type="http://schemas.openxmlformats.org/officeDocument/2006/relationships/table" Target="../tables/table148.xml"/><Relationship Id="rId9" Type="http://schemas.openxmlformats.org/officeDocument/2006/relationships/table" Target="../tables/table15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.xml"/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12" Type="http://schemas.openxmlformats.org/officeDocument/2006/relationships/table" Target="../tables/table24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11" Type="http://schemas.openxmlformats.org/officeDocument/2006/relationships/table" Target="../tables/table23.xml"/><Relationship Id="rId5" Type="http://schemas.openxmlformats.org/officeDocument/2006/relationships/table" Target="../tables/table17.xml"/><Relationship Id="rId10" Type="http://schemas.openxmlformats.org/officeDocument/2006/relationships/table" Target="../tables/table22.xml"/><Relationship Id="rId4" Type="http://schemas.openxmlformats.org/officeDocument/2006/relationships/table" Target="../tables/table16.xml"/><Relationship Id="rId9" Type="http://schemas.openxmlformats.org/officeDocument/2006/relationships/table" Target="../tables/table2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2.xml"/><Relationship Id="rId3" Type="http://schemas.openxmlformats.org/officeDocument/2006/relationships/table" Target="../tables/table27.xml"/><Relationship Id="rId7" Type="http://schemas.openxmlformats.org/officeDocument/2006/relationships/table" Target="../tables/table31.xml"/><Relationship Id="rId12" Type="http://schemas.openxmlformats.org/officeDocument/2006/relationships/table" Target="../tables/table36.xml"/><Relationship Id="rId2" Type="http://schemas.openxmlformats.org/officeDocument/2006/relationships/table" Target="../tables/table26.xml"/><Relationship Id="rId1" Type="http://schemas.openxmlformats.org/officeDocument/2006/relationships/table" Target="../tables/table25.xml"/><Relationship Id="rId6" Type="http://schemas.openxmlformats.org/officeDocument/2006/relationships/table" Target="../tables/table30.xml"/><Relationship Id="rId11" Type="http://schemas.openxmlformats.org/officeDocument/2006/relationships/table" Target="../tables/table35.xml"/><Relationship Id="rId5" Type="http://schemas.openxmlformats.org/officeDocument/2006/relationships/table" Target="../tables/table29.xml"/><Relationship Id="rId10" Type="http://schemas.openxmlformats.org/officeDocument/2006/relationships/table" Target="../tables/table34.xml"/><Relationship Id="rId4" Type="http://schemas.openxmlformats.org/officeDocument/2006/relationships/table" Target="../tables/table28.xml"/><Relationship Id="rId9" Type="http://schemas.openxmlformats.org/officeDocument/2006/relationships/table" Target="../tables/table3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4.xml"/><Relationship Id="rId3" Type="http://schemas.openxmlformats.org/officeDocument/2006/relationships/table" Target="../tables/table39.xml"/><Relationship Id="rId7" Type="http://schemas.openxmlformats.org/officeDocument/2006/relationships/table" Target="../tables/table43.xml"/><Relationship Id="rId12" Type="http://schemas.openxmlformats.org/officeDocument/2006/relationships/table" Target="../tables/table48.xml"/><Relationship Id="rId2" Type="http://schemas.openxmlformats.org/officeDocument/2006/relationships/table" Target="../tables/table38.xml"/><Relationship Id="rId1" Type="http://schemas.openxmlformats.org/officeDocument/2006/relationships/table" Target="../tables/table37.xml"/><Relationship Id="rId6" Type="http://schemas.openxmlformats.org/officeDocument/2006/relationships/table" Target="../tables/table42.xml"/><Relationship Id="rId11" Type="http://schemas.openxmlformats.org/officeDocument/2006/relationships/table" Target="../tables/table47.xml"/><Relationship Id="rId5" Type="http://schemas.openxmlformats.org/officeDocument/2006/relationships/table" Target="../tables/table41.xml"/><Relationship Id="rId10" Type="http://schemas.openxmlformats.org/officeDocument/2006/relationships/table" Target="../tables/table46.xml"/><Relationship Id="rId4" Type="http://schemas.openxmlformats.org/officeDocument/2006/relationships/table" Target="../tables/table40.xml"/><Relationship Id="rId9" Type="http://schemas.openxmlformats.org/officeDocument/2006/relationships/table" Target="../tables/table4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6.xml"/><Relationship Id="rId3" Type="http://schemas.openxmlformats.org/officeDocument/2006/relationships/table" Target="../tables/table51.xml"/><Relationship Id="rId7" Type="http://schemas.openxmlformats.org/officeDocument/2006/relationships/table" Target="../tables/table55.xml"/><Relationship Id="rId12" Type="http://schemas.openxmlformats.org/officeDocument/2006/relationships/table" Target="../tables/table60.xml"/><Relationship Id="rId2" Type="http://schemas.openxmlformats.org/officeDocument/2006/relationships/table" Target="../tables/table50.xml"/><Relationship Id="rId1" Type="http://schemas.openxmlformats.org/officeDocument/2006/relationships/table" Target="../tables/table49.xml"/><Relationship Id="rId6" Type="http://schemas.openxmlformats.org/officeDocument/2006/relationships/table" Target="../tables/table54.xml"/><Relationship Id="rId11" Type="http://schemas.openxmlformats.org/officeDocument/2006/relationships/table" Target="../tables/table59.xml"/><Relationship Id="rId5" Type="http://schemas.openxmlformats.org/officeDocument/2006/relationships/table" Target="../tables/table53.xml"/><Relationship Id="rId10" Type="http://schemas.openxmlformats.org/officeDocument/2006/relationships/table" Target="../tables/table58.xml"/><Relationship Id="rId4" Type="http://schemas.openxmlformats.org/officeDocument/2006/relationships/table" Target="../tables/table52.xml"/><Relationship Id="rId9" Type="http://schemas.openxmlformats.org/officeDocument/2006/relationships/table" Target="../tables/table57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8.xml"/><Relationship Id="rId3" Type="http://schemas.openxmlformats.org/officeDocument/2006/relationships/table" Target="../tables/table63.xml"/><Relationship Id="rId7" Type="http://schemas.openxmlformats.org/officeDocument/2006/relationships/table" Target="../tables/table67.xml"/><Relationship Id="rId12" Type="http://schemas.openxmlformats.org/officeDocument/2006/relationships/table" Target="../tables/table72.xml"/><Relationship Id="rId2" Type="http://schemas.openxmlformats.org/officeDocument/2006/relationships/table" Target="../tables/table62.xml"/><Relationship Id="rId1" Type="http://schemas.openxmlformats.org/officeDocument/2006/relationships/table" Target="../tables/table61.xml"/><Relationship Id="rId6" Type="http://schemas.openxmlformats.org/officeDocument/2006/relationships/table" Target="../tables/table66.xml"/><Relationship Id="rId11" Type="http://schemas.openxmlformats.org/officeDocument/2006/relationships/table" Target="../tables/table71.xml"/><Relationship Id="rId5" Type="http://schemas.openxmlformats.org/officeDocument/2006/relationships/table" Target="../tables/table65.xml"/><Relationship Id="rId10" Type="http://schemas.openxmlformats.org/officeDocument/2006/relationships/table" Target="../tables/table70.xml"/><Relationship Id="rId4" Type="http://schemas.openxmlformats.org/officeDocument/2006/relationships/table" Target="../tables/table64.xml"/><Relationship Id="rId9" Type="http://schemas.openxmlformats.org/officeDocument/2006/relationships/table" Target="../tables/table6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0.xml"/><Relationship Id="rId3" Type="http://schemas.openxmlformats.org/officeDocument/2006/relationships/table" Target="../tables/table75.xml"/><Relationship Id="rId7" Type="http://schemas.openxmlformats.org/officeDocument/2006/relationships/table" Target="../tables/table79.xml"/><Relationship Id="rId12" Type="http://schemas.openxmlformats.org/officeDocument/2006/relationships/table" Target="../tables/table84.xml"/><Relationship Id="rId2" Type="http://schemas.openxmlformats.org/officeDocument/2006/relationships/table" Target="../tables/table74.xml"/><Relationship Id="rId1" Type="http://schemas.openxmlformats.org/officeDocument/2006/relationships/table" Target="../tables/table73.xml"/><Relationship Id="rId6" Type="http://schemas.openxmlformats.org/officeDocument/2006/relationships/table" Target="../tables/table78.xml"/><Relationship Id="rId11" Type="http://schemas.openxmlformats.org/officeDocument/2006/relationships/table" Target="../tables/table83.xml"/><Relationship Id="rId5" Type="http://schemas.openxmlformats.org/officeDocument/2006/relationships/table" Target="../tables/table77.xml"/><Relationship Id="rId10" Type="http://schemas.openxmlformats.org/officeDocument/2006/relationships/table" Target="../tables/table82.xml"/><Relationship Id="rId4" Type="http://schemas.openxmlformats.org/officeDocument/2006/relationships/table" Target="../tables/table76.xml"/><Relationship Id="rId9" Type="http://schemas.openxmlformats.org/officeDocument/2006/relationships/table" Target="../tables/table8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2.xml"/><Relationship Id="rId3" Type="http://schemas.openxmlformats.org/officeDocument/2006/relationships/table" Target="../tables/table87.xml"/><Relationship Id="rId7" Type="http://schemas.openxmlformats.org/officeDocument/2006/relationships/table" Target="../tables/table91.xml"/><Relationship Id="rId12" Type="http://schemas.openxmlformats.org/officeDocument/2006/relationships/table" Target="../tables/table96.xml"/><Relationship Id="rId2" Type="http://schemas.openxmlformats.org/officeDocument/2006/relationships/table" Target="../tables/table86.xml"/><Relationship Id="rId1" Type="http://schemas.openxmlformats.org/officeDocument/2006/relationships/table" Target="../tables/table85.xml"/><Relationship Id="rId6" Type="http://schemas.openxmlformats.org/officeDocument/2006/relationships/table" Target="../tables/table90.xml"/><Relationship Id="rId11" Type="http://schemas.openxmlformats.org/officeDocument/2006/relationships/table" Target="../tables/table95.xml"/><Relationship Id="rId5" Type="http://schemas.openxmlformats.org/officeDocument/2006/relationships/table" Target="../tables/table89.xml"/><Relationship Id="rId10" Type="http://schemas.openxmlformats.org/officeDocument/2006/relationships/table" Target="../tables/table94.xml"/><Relationship Id="rId4" Type="http://schemas.openxmlformats.org/officeDocument/2006/relationships/table" Target="../tables/table88.xml"/><Relationship Id="rId9" Type="http://schemas.openxmlformats.org/officeDocument/2006/relationships/table" Target="../tables/table9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7"/>
  <sheetViews>
    <sheetView showGridLines="0" zoomScaleNormal="100" workbookViewId="0">
      <selection activeCell="B5" sqref="B5"/>
    </sheetView>
  </sheetViews>
  <sheetFormatPr defaultRowHeight="12.75" x14ac:dyDescent="0.2"/>
  <cols>
    <col min="1" max="1" width="2.7109375" customWidth="1"/>
    <col min="2" max="2" width="80.7109375" customWidth="1"/>
    <col min="3" max="3" width="2.7109375" customWidth="1"/>
  </cols>
  <sheetData>
    <row r="1" spans="2:2" s="6" customFormat="1" ht="30" customHeight="1" x14ac:dyDescent="0.2">
      <c r="B1" s="5" t="s">
        <v>83</v>
      </c>
    </row>
    <row r="2" spans="2:2" ht="30" customHeight="1" x14ac:dyDescent="0.2">
      <c r="B2" s="3" t="s">
        <v>78</v>
      </c>
    </row>
    <row r="3" spans="2:2" ht="30" customHeight="1" x14ac:dyDescent="0.2">
      <c r="B3" s="3" t="s">
        <v>79</v>
      </c>
    </row>
    <row r="4" spans="2:2" ht="30" customHeight="1" x14ac:dyDescent="0.2">
      <c r="B4" s="3" t="s">
        <v>80</v>
      </c>
    </row>
    <row r="5" spans="2:2" ht="30" customHeight="1" x14ac:dyDescent="0.2">
      <c r="B5" s="4" t="s">
        <v>0</v>
      </c>
    </row>
    <row r="6" spans="2:2" ht="64.5" customHeight="1" x14ac:dyDescent="0.2">
      <c r="B6" s="3" t="s">
        <v>81</v>
      </c>
    </row>
    <row r="7" spans="2:2" ht="36.75" customHeight="1" x14ac:dyDescent="0.2">
      <c r="B7" s="3" t="s">
        <v>82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532DC-BFE2-4BA2-8FB8-300C0A4814C0}">
  <dimension ref="A1:I64"/>
  <sheetViews>
    <sheetView workbookViewId="0">
      <selection activeCell="A2" sqref="A1:A1048576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Moradia38110[[#This Row],[Custo previsto]]-Moradia38110[[#This Row],[Custo Real]]</f>
        <v>0</v>
      </c>
      <c r="F12" t="s">
        <v>50</v>
      </c>
      <c r="G12" s="11"/>
      <c r="H12" s="11"/>
      <c r="I12" s="11">
        <f>Entretenimento39111[[#This Row],[Custo previsto]]-Entretenimento39111[[#This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Moradia38110[[#This Row],[Custo previsto]]-Moradia38110[[#This Row],[Custo Real]]</f>
        <v>-46</v>
      </c>
      <c r="F13" t="s">
        <v>51</v>
      </c>
      <c r="G13" s="11"/>
      <c r="H13" s="11"/>
      <c r="I13" s="11">
        <f>Entretenimento39111[[#This Row],[Custo previsto]]-Entretenimento39111[[#This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Moradia38110[[#This Row],[Custo previsto]]-Moradia38110[[#This Row],[Custo Real]]</f>
        <v>-12</v>
      </c>
      <c r="F14" t="s">
        <v>52</v>
      </c>
      <c r="G14" s="11"/>
      <c r="H14" s="11"/>
      <c r="I14" s="11">
        <f>Entretenimento39111[[#This Row],[Custo previsto]]-Entretenimento39111[[#This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Moradia38110[[#This Row],[Custo previsto]]-Moradia38110[[#This Row],[Custo Real]]</f>
        <v>-6</v>
      </c>
      <c r="F15" t="s">
        <v>53</v>
      </c>
      <c r="G15" s="11"/>
      <c r="H15" s="11"/>
      <c r="I15" s="11">
        <f>Entretenimento39111[[#This Row],[Custo previsto]]-Entretenimento39111[[#This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Moradia38110[[#This Row],[Custo previsto]]-Moradia38110[[#This Row],[Custo Real]]</f>
        <v>0</v>
      </c>
      <c r="F16" t="s">
        <v>54</v>
      </c>
      <c r="G16" s="11"/>
      <c r="H16" s="11"/>
      <c r="I16" s="11">
        <f>Entretenimento39111[[#This Row],[Custo previsto]]-Entretenimento39111[[#This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Moradia38110[[#This Row],[Custo previsto]]-Moradia38110[[#This Row],[Custo Real]]</f>
        <v>0</v>
      </c>
      <c r="F17" t="s">
        <v>55</v>
      </c>
      <c r="G17" s="11"/>
      <c r="H17" s="11"/>
      <c r="I17" s="11">
        <f>Entretenimento39111[[#This Row],[Custo previsto]]-Entretenimento39111[[#This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Moradia38110[[#This Row],[Custo previsto]]-Moradia38110[[#This Row],[Custo Real]]</f>
        <v>0</v>
      </c>
      <c r="F18" t="s">
        <v>13</v>
      </c>
      <c r="G18" s="11"/>
      <c r="H18" s="11"/>
      <c r="I18" s="11">
        <f>Entretenimento39111[[#This Row],[Custo previsto]]-Entretenimento39111[[#This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Moradia38110[[#This Row],[Custo previsto]]-Moradia38110[[#This Row],[Custo Real]]</f>
        <v>23</v>
      </c>
      <c r="F19" t="s">
        <v>13</v>
      </c>
      <c r="G19" s="11"/>
      <c r="H19" s="11"/>
      <c r="I19" s="11">
        <f>Entretenimento39111[[#This Row],[Custo previsto]]-Entretenimento39111[[#This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Moradia38110[[#This Row],[Custo previsto]]-Moradia38110[[#This Row],[Custo Real]]</f>
        <v>0</v>
      </c>
      <c r="F20" t="s">
        <v>13</v>
      </c>
      <c r="G20" s="11"/>
      <c r="H20" s="11"/>
      <c r="I20" s="11">
        <f>Entretenimento39111[[#This Row],[Custo previsto]]-Entretenimento39111[[#This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Moradia38110[[#This Row],[Custo previsto]]-Moradia38110[[#This Row],[Custo Real]]</f>
        <v>0</v>
      </c>
      <c r="F21" t="s">
        <v>14</v>
      </c>
      <c r="G21" s="11"/>
      <c r="H21" s="11"/>
      <c r="I21" s="11">
        <f>SUBTOTAL(109,Entretenimento39111[Diferença])</f>
        <v>0</v>
      </c>
    </row>
    <row r="22" spans="1:9" x14ac:dyDescent="0.2">
      <c r="A22" t="s">
        <v>14</v>
      </c>
      <c r="B22" s="11"/>
      <c r="C22" s="11"/>
      <c r="D22" s="11">
        <f>SUBTOTAL(109,Moradia38110[Diferença])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Empréstimos40112[[#This Row],[Custo previsto]]-Empréstimos40112[[#This Row],[Custo Real]]</f>
        <v>0</v>
      </c>
    </row>
    <row r="25" spans="1:9" x14ac:dyDescent="0.2">
      <c r="A25" t="s">
        <v>16</v>
      </c>
      <c r="B25" s="11"/>
      <c r="C25" s="11"/>
      <c r="D25" s="11">
        <f>Transporte41113[[#This Row],[Custo previsto]]-Transporte41113[[#This Row],[Custo Real]]</f>
        <v>0</v>
      </c>
      <c r="F25" t="s">
        <v>58</v>
      </c>
      <c r="G25" s="11"/>
      <c r="H25" s="11"/>
      <c r="I25" s="11">
        <f>Empréstimos40112[[#This Row],[Custo previsto]]-Empréstimos40112[[#This Row],[Custo Real]]</f>
        <v>0</v>
      </c>
    </row>
    <row r="26" spans="1:9" x14ac:dyDescent="0.2">
      <c r="A26" t="s">
        <v>17</v>
      </c>
      <c r="B26" s="11"/>
      <c r="C26" s="11"/>
      <c r="D26" s="11">
        <f>Transporte41113[[#This Row],[Custo previsto]]-Transporte41113[[#This Row],[Custo Real]]</f>
        <v>0</v>
      </c>
      <c r="F26" t="s">
        <v>59</v>
      </c>
      <c r="G26" s="11"/>
      <c r="H26" s="11"/>
      <c r="I26" s="11">
        <f>Empréstimos40112[[#This Row],[Custo previsto]]-Empréstimos40112[[#This Row],[Custo Real]]</f>
        <v>0</v>
      </c>
    </row>
    <row r="27" spans="1:9" x14ac:dyDescent="0.2">
      <c r="A27" t="s">
        <v>18</v>
      </c>
      <c r="B27" s="11"/>
      <c r="C27" s="11"/>
      <c r="D27" s="11">
        <f>Transporte41113[[#This Row],[Custo previsto]]-Transporte41113[[#This Row],[Custo Real]]</f>
        <v>0</v>
      </c>
      <c r="F27" t="s">
        <v>59</v>
      </c>
      <c r="G27" s="11"/>
      <c r="H27" s="11"/>
      <c r="I27" s="11">
        <f>Empréstimos40112[[#This Row],[Custo previsto]]-Empréstimos40112[[#This Row],[Custo Real]]</f>
        <v>0</v>
      </c>
    </row>
    <row r="28" spans="1:9" x14ac:dyDescent="0.2">
      <c r="A28" t="s">
        <v>19</v>
      </c>
      <c r="B28" s="11"/>
      <c r="C28" s="11"/>
      <c r="D28" s="11">
        <f>Transporte41113[[#This Row],[Custo previsto]]-Transporte41113[[#This Row],[Custo Real]]</f>
        <v>0</v>
      </c>
      <c r="F28" t="s">
        <v>59</v>
      </c>
      <c r="G28" s="11"/>
      <c r="H28" s="11"/>
      <c r="I28" s="11">
        <f>Empréstimos40112[[#This Row],[Custo previsto]]-Empréstimos40112[[#This Row],[Custo Real]]</f>
        <v>0</v>
      </c>
    </row>
    <row r="29" spans="1:9" x14ac:dyDescent="0.2">
      <c r="A29" t="s">
        <v>20</v>
      </c>
      <c r="B29" s="11"/>
      <c r="C29" s="11"/>
      <c r="D29" s="11">
        <f>Transporte41113[[#This Row],[Custo previsto]]-Transporte41113[[#This Row],[Custo Real]]</f>
        <v>0</v>
      </c>
      <c r="F29" t="s">
        <v>13</v>
      </c>
      <c r="G29" s="11"/>
      <c r="H29" s="11"/>
      <c r="I29" s="11">
        <f>Empréstimos40112[[#This Row],[Custo previsto]]-Empréstimos40112[[#This Row],[Custo Real]]</f>
        <v>0</v>
      </c>
    </row>
    <row r="30" spans="1:9" x14ac:dyDescent="0.2">
      <c r="A30" t="s">
        <v>21</v>
      </c>
      <c r="B30" s="11"/>
      <c r="C30" s="11"/>
      <c r="D30" s="11">
        <f>Transporte41113[[#This Row],[Custo previsto]]-Transporte41113[[#This Row],[Custo Real]]</f>
        <v>0</v>
      </c>
      <c r="F30" t="s">
        <v>14</v>
      </c>
      <c r="G30" s="11"/>
      <c r="H30" s="11"/>
      <c r="I30" s="11">
        <f>SUBTOTAL(109,Empréstimos40112[Diferença])</f>
        <v>0</v>
      </c>
    </row>
    <row r="31" spans="1:9" x14ac:dyDescent="0.2">
      <c r="A31" t="s">
        <v>13</v>
      </c>
      <c r="B31" s="11"/>
      <c r="C31" s="11"/>
      <c r="D31" s="11">
        <f>Transporte41113[[#This Row],[Custo previsto]]-Transporte41113[[#This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SUBTOTAL(109,Transporte41113[Diferença])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Impostos43115[[#This Row],[Custo previsto]]-Impostos43115[[#This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Impostos43115[[#This Row],[Custo previsto]]-Impostos43115[[#This Row],[Custo Real]]</f>
        <v>0</v>
      </c>
    </row>
    <row r="35" spans="1:9" x14ac:dyDescent="0.2">
      <c r="A35" t="s">
        <v>23</v>
      </c>
      <c r="B35" s="11"/>
      <c r="C35" s="11"/>
      <c r="D35" s="11">
        <f>Seguro42114[[#This Row],[Custo previsto]]-Seguro42114[[#This Row],[Custo Real]]</f>
        <v>0</v>
      </c>
      <c r="F35" t="s">
        <v>63</v>
      </c>
      <c r="G35" s="11"/>
      <c r="H35" s="11"/>
      <c r="I35" s="11">
        <f>Impostos43115[[#This Row],[Custo previsto]]-Impostos43115[[#This Row],[Custo Real]]</f>
        <v>0</v>
      </c>
    </row>
    <row r="36" spans="1:9" x14ac:dyDescent="0.2">
      <c r="A36" t="s">
        <v>24</v>
      </c>
      <c r="B36" s="11"/>
      <c r="C36" s="11"/>
      <c r="D36" s="11">
        <f>Seguro42114[[#This Row],[Custo previsto]]-Seguro42114[[#This Row],[Custo Real]]</f>
        <v>0</v>
      </c>
      <c r="F36" t="s">
        <v>13</v>
      </c>
      <c r="G36" s="11"/>
      <c r="H36" s="11"/>
      <c r="I36" s="11">
        <f>Impostos43115[[#This Row],[Custo previsto]]-Impostos43115[[#This Row],[Custo Real]]</f>
        <v>0</v>
      </c>
    </row>
    <row r="37" spans="1:9" x14ac:dyDescent="0.2">
      <c r="A37" t="s">
        <v>25</v>
      </c>
      <c r="B37" s="11"/>
      <c r="C37" s="11"/>
      <c r="D37" s="11">
        <f>Seguro42114[[#This Row],[Custo previsto]]-Seguro42114[[#This Row],[Custo Real]]</f>
        <v>0</v>
      </c>
      <c r="F37" t="s">
        <v>14</v>
      </c>
      <c r="G37" s="11"/>
      <c r="H37" s="11"/>
      <c r="I37" s="11">
        <f>SUBTOTAL(109,Impostos43115[Diferença])</f>
        <v>0</v>
      </c>
    </row>
    <row r="38" spans="1:9" x14ac:dyDescent="0.2">
      <c r="A38" t="s">
        <v>13</v>
      </c>
      <c r="B38" s="11"/>
      <c r="C38" s="11"/>
      <c r="D38" s="11">
        <f>Seguro42114[[#This Row],[Custo previsto]]-Seguro42114[[#This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SUBTOTAL(109,Seguro42114[Diferença])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Poupança44116[[#This Row],[Custo previsto]]-Poupança44116[[#This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Poupança44116[[#This Row],[Custo previsto]]-Poupança44116[[#This Row],[Custo Real]]</f>
        <v>0</v>
      </c>
    </row>
    <row r="42" spans="1:9" x14ac:dyDescent="0.2">
      <c r="A42" t="s">
        <v>27</v>
      </c>
      <c r="B42" s="11"/>
      <c r="C42" s="11"/>
      <c r="D42" s="11">
        <f>Alimentação45117[[#This Row],[Custo previsto]]-Alimentação45117[[#This Row],[Custo Real]]</f>
        <v>0</v>
      </c>
      <c r="F42" t="s">
        <v>13</v>
      </c>
      <c r="G42" s="11"/>
      <c r="H42" s="11"/>
      <c r="I42" s="11">
        <f>Poupança44116[[#This Row],[Custo previsto]]-Poupança44116[[#This Row],[Custo Real]]</f>
        <v>0</v>
      </c>
    </row>
    <row r="43" spans="1:9" x14ac:dyDescent="0.2">
      <c r="A43" t="s">
        <v>28</v>
      </c>
      <c r="B43" s="11"/>
      <c r="C43" s="11"/>
      <c r="D43" s="11">
        <f>Alimentação45117[[#This Row],[Custo previsto]]-Alimentação45117[[#This Row],[Custo Real]]</f>
        <v>0</v>
      </c>
      <c r="F43" t="s">
        <v>14</v>
      </c>
      <c r="G43" s="11"/>
      <c r="H43" s="11"/>
      <c r="I43" s="11">
        <f>SUBTOTAL(109,Poupança44116[Diferença])</f>
        <v>0</v>
      </c>
    </row>
    <row r="44" spans="1:9" x14ac:dyDescent="0.2">
      <c r="A44" t="s">
        <v>13</v>
      </c>
      <c r="B44" s="11"/>
      <c r="C44" s="11"/>
      <c r="D44" s="11">
        <f>Alimentação45117[[#This Row],[Custo previsto]]-Alimentação45117[[#This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SUBTOTAL(109,Alimentação45117[Diferença])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Presentes46118[[#This Row],[Custo previsto]]-Presentes46118[[#This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Presentes46118[[#This Row],[Custo previsto]]-Presentes46118[[#This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Animais_de_estimação47119[[#This Row],[Custo previsto]]-Animais_de_estimação47119[[#This Row],[Custo Real]]</f>
        <v>0</v>
      </c>
      <c r="F48" t="s">
        <v>70</v>
      </c>
      <c r="G48" s="11"/>
      <c r="H48" s="11"/>
      <c r="I48" s="11">
        <f>Presentes46118[[#This Row],[Custo previsto]]-Presentes46118[[#This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Animais_de_estimação47119[[#This Row],[Custo previsto]]-Animais_de_estimação47119[[#This Row],[Custo Real]]</f>
        <v>0</v>
      </c>
      <c r="F49" t="s">
        <v>14</v>
      </c>
      <c r="G49" s="11"/>
      <c r="H49" s="11"/>
      <c r="I49" s="11">
        <f>SUBTOTAL(109,Presentes46118[Diferença])</f>
        <v>0</v>
      </c>
    </row>
    <row r="50" spans="1:9" x14ac:dyDescent="0.2">
      <c r="A50" t="s">
        <v>32</v>
      </c>
      <c r="B50" s="11"/>
      <c r="C50" s="11"/>
      <c r="D50" s="11">
        <f>Animais_de_estimação47119[[#This Row],[Custo previsto]]-Animais_de_estimação47119[[#This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Animais_de_estimação47119[[#This Row],[Custo previsto]]-Animais_de_estimação47119[[#This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Animais_de_estimação47119[[#This Row],[Custo previsto]]-Animais_de_estimação47119[[#This Row],[Custo Real]]</f>
        <v>0</v>
      </c>
      <c r="F52" t="s">
        <v>72</v>
      </c>
      <c r="G52" s="11"/>
      <c r="H52" s="11"/>
      <c r="I52" s="11">
        <f>Assessoria_jurídica48120[[#This Row],[Custo previsto]]-Assessoria_jurídica48120[[#This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SUBTOTAL(109,Animais_de_estimação47119[Diferença])</f>
        <v>0</v>
      </c>
      <c r="F53" t="s">
        <v>73</v>
      </c>
      <c r="G53" s="11"/>
      <c r="H53" s="11"/>
      <c r="I53" s="11">
        <f>Assessoria_jurídica48120[[#This Row],[Custo previsto]]-Assessoria_jurídica48120[[#This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Assessoria_jurídica48120[[#This Row],[Custo previsto]]-Assessoria_jurídica48120[[#This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Assessoria_jurídica48120[[#This Row],[Custo previsto]]-Assessoria_jurídica48120[[#This Row],[Custo Real]]</f>
        <v>0</v>
      </c>
    </row>
    <row r="56" spans="1:9" x14ac:dyDescent="0.2">
      <c r="A56" t="s">
        <v>31</v>
      </c>
      <c r="B56" s="11"/>
      <c r="C56" s="11"/>
      <c r="D56" s="11">
        <f>CuidadosPessoais49121[[#This Row],[Custo previsto]]-CuidadosPessoais49121[[#This Row],[Custo Real]]</f>
        <v>0</v>
      </c>
      <c r="F56" t="s">
        <v>14</v>
      </c>
      <c r="G56" s="11"/>
      <c r="H56" s="11"/>
      <c r="I56" s="11">
        <f>SUBTOTAL(109,Assessoria_jurídica48120[Diferença])</f>
        <v>0</v>
      </c>
    </row>
    <row r="57" spans="1:9" x14ac:dyDescent="0.2">
      <c r="A57" t="s">
        <v>35</v>
      </c>
      <c r="B57" s="11"/>
      <c r="C57" s="11"/>
      <c r="D57" s="11">
        <f>CuidadosPessoais49121[[#This Row],[Custo previsto]]-CuidadosPessoais49121[[#This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CuidadosPessoais49121[[#This Row],[Custo previsto]]-CuidadosPessoais49121[[#This Row],[Custo Real]]</f>
        <v>0</v>
      </c>
      <c r="F58" s="20" t="s">
        <v>75</v>
      </c>
      <c r="G58" s="20"/>
      <c r="H58" s="20"/>
      <c r="I58" s="19">
        <f>SUBTOTAL(109,Moradia38110[Custo previsto],Transporte41113[Custo previsto],Seguro42114[Custo previsto],Alimentação45117[Custo previsto],Animais_de_estimação47119[Custo previsto],CuidadosPessoais49121[Custo previsto],Entretenimento39111[Custo previsto],Empréstimos40112[Custo previsto],Impostos43115[Custo previsto],Poupança44116[Custo previsto],Presentes46118[Custo previsto],Assessoria_jurídica48120[Custo previsto])</f>
        <v>1195</v>
      </c>
    </row>
    <row r="59" spans="1:9" x14ac:dyDescent="0.2">
      <c r="A59" t="s">
        <v>37</v>
      </c>
      <c r="B59" s="11"/>
      <c r="C59" s="11"/>
      <c r="D59" s="11">
        <f>CuidadosPessoais49121[[#This Row],[Custo previsto]]-CuidadosPessoais49121[[#This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CuidadosPessoais49121[[#This Row],[Custo previsto]]-CuidadosPessoais49121[[#This Row],[Custo Real]]</f>
        <v>0</v>
      </c>
      <c r="F60" s="20" t="s">
        <v>76</v>
      </c>
      <c r="G60" s="20"/>
      <c r="H60" s="20"/>
      <c r="I60" s="19">
        <f>SUBTOTAL(109,Moradia38110[Custo Real],Transporte41113[Custo Real],Seguro42114[Custo Real],Alimentação45117[Custo Real],Animais_de_estimação47119[Custo Real],CuidadosPessoais49121[Custo Real],Entretenimento39111[Custo Real],Empréstimos40112[Custo Real],Impostos43115[Custo Real],Poupança44116[Custo Real],Presentes46118[Custo Real],Assessoria_jurídica48120[Custo Real])</f>
        <v>1236</v>
      </c>
    </row>
    <row r="61" spans="1:9" x14ac:dyDescent="0.2">
      <c r="A61" t="s">
        <v>39</v>
      </c>
      <c r="B61" s="11"/>
      <c r="C61" s="11"/>
      <c r="D61" s="11">
        <f>CuidadosPessoais49121[[#This Row],[Custo previsto]]-CuidadosPessoais49121[[#This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CuidadosPessoais49121[[#This Row],[Custo previsto]]-CuidadosPessoais49121[[#This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SUBTOTAL(109,CuidadosPessoais49121[Diferença])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9" priority="2" operator="lessThan">
      <formula>0</formula>
    </cfRule>
  </conditionalFormatting>
  <conditionalFormatting sqref="I62:I63">
    <cfRule type="cellIs" dxfId="8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CC58-6B83-48D8-91D4-370B3FF425B7}">
  <dimension ref="A1:I64"/>
  <sheetViews>
    <sheetView workbookViewId="0">
      <selection activeCell="A2" sqref="A2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Moradia38122[[#This Row],[Custo previsto]]-Moradia38122[[#This Row],[Custo Real]]</f>
        <v>0</v>
      </c>
      <c r="F12" t="s">
        <v>50</v>
      </c>
      <c r="G12" s="11"/>
      <c r="H12" s="11"/>
      <c r="I12" s="11">
        <f>Entretenimento39123[[#This Row],[Custo previsto]]-Entretenimento39123[[#This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Moradia38122[[#This Row],[Custo previsto]]-Moradia38122[[#This Row],[Custo Real]]</f>
        <v>-46</v>
      </c>
      <c r="F13" t="s">
        <v>51</v>
      </c>
      <c r="G13" s="11"/>
      <c r="H13" s="11"/>
      <c r="I13" s="11">
        <f>Entretenimento39123[[#This Row],[Custo previsto]]-Entretenimento39123[[#This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Moradia38122[[#This Row],[Custo previsto]]-Moradia38122[[#This Row],[Custo Real]]</f>
        <v>-12</v>
      </c>
      <c r="F14" t="s">
        <v>52</v>
      </c>
      <c r="G14" s="11"/>
      <c r="H14" s="11"/>
      <c r="I14" s="11">
        <f>Entretenimento39123[[#This Row],[Custo previsto]]-Entretenimento39123[[#This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Moradia38122[[#This Row],[Custo previsto]]-Moradia38122[[#This Row],[Custo Real]]</f>
        <v>-6</v>
      </c>
      <c r="F15" t="s">
        <v>53</v>
      </c>
      <c r="G15" s="11"/>
      <c r="H15" s="11"/>
      <c r="I15" s="11">
        <f>Entretenimento39123[[#This Row],[Custo previsto]]-Entretenimento39123[[#This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Moradia38122[[#This Row],[Custo previsto]]-Moradia38122[[#This Row],[Custo Real]]</f>
        <v>0</v>
      </c>
      <c r="F16" t="s">
        <v>54</v>
      </c>
      <c r="G16" s="11"/>
      <c r="H16" s="11"/>
      <c r="I16" s="11">
        <f>Entretenimento39123[[#This Row],[Custo previsto]]-Entretenimento39123[[#This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Moradia38122[[#This Row],[Custo previsto]]-Moradia38122[[#This Row],[Custo Real]]</f>
        <v>0</v>
      </c>
      <c r="F17" t="s">
        <v>55</v>
      </c>
      <c r="G17" s="11"/>
      <c r="H17" s="11"/>
      <c r="I17" s="11">
        <f>Entretenimento39123[[#This Row],[Custo previsto]]-Entretenimento39123[[#This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Moradia38122[[#This Row],[Custo previsto]]-Moradia38122[[#This Row],[Custo Real]]</f>
        <v>0</v>
      </c>
      <c r="F18" t="s">
        <v>13</v>
      </c>
      <c r="G18" s="11"/>
      <c r="H18" s="11"/>
      <c r="I18" s="11">
        <f>Entretenimento39123[[#This Row],[Custo previsto]]-Entretenimento39123[[#This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Moradia38122[[#This Row],[Custo previsto]]-Moradia38122[[#This Row],[Custo Real]]</f>
        <v>23</v>
      </c>
      <c r="F19" t="s">
        <v>13</v>
      </c>
      <c r="G19" s="11"/>
      <c r="H19" s="11"/>
      <c r="I19" s="11">
        <f>Entretenimento39123[[#This Row],[Custo previsto]]-Entretenimento39123[[#This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Moradia38122[[#This Row],[Custo previsto]]-Moradia38122[[#This Row],[Custo Real]]</f>
        <v>0</v>
      </c>
      <c r="F20" t="s">
        <v>13</v>
      </c>
      <c r="G20" s="11"/>
      <c r="H20" s="11"/>
      <c r="I20" s="11">
        <f>Entretenimento39123[[#This Row],[Custo previsto]]-Entretenimento39123[[#This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Moradia38122[[#This Row],[Custo previsto]]-Moradia38122[[#This Row],[Custo Real]]</f>
        <v>0</v>
      </c>
      <c r="F21" t="s">
        <v>14</v>
      </c>
      <c r="G21" s="11"/>
      <c r="H21" s="11"/>
      <c r="I21" s="11">
        <f>SUBTOTAL(109,Entretenimento39123[Diferença])</f>
        <v>0</v>
      </c>
    </row>
    <row r="22" spans="1:9" x14ac:dyDescent="0.2">
      <c r="A22" t="s">
        <v>14</v>
      </c>
      <c r="B22" s="11"/>
      <c r="C22" s="11"/>
      <c r="D22" s="11">
        <f>SUBTOTAL(109,Moradia38122[Diferença])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Empréstimos40124[[#This Row],[Custo previsto]]-Empréstimos40124[[#This Row],[Custo Real]]</f>
        <v>0</v>
      </c>
    </row>
    <row r="25" spans="1:9" x14ac:dyDescent="0.2">
      <c r="A25" t="s">
        <v>16</v>
      </c>
      <c r="B25" s="11"/>
      <c r="C25" s="11"/>
      <c r="D25" s="11">
        <f>Transporte41125[[#This Row],[Custo previsto]]-Transporte41125[[#This Row],[Custo Real]]</f>
        <v>0</v>
      </c>
      <c r="F25" t="s">
        <v>58</v>
      </c>
      <c r="G25" s="11"/>
      <c r="H25" s="11"/>
      <c r="I25" s="11">
        <f>Empréstimos40124[[#This Row],[Custo previsto]]-Empréstimos40124[[#This Row],[Custo Real]]</f>
        <v>0</v>
      </c>
    </row>
    <row r="26" spans="1:9" x14ac:dyDescent="0.2">
      <c r="A26" t="s">
        <v>17</v>
      </c>
      <c r="B26" s="11"/>
      <c r="C26" s="11"/>
      <c r="D26" s="11">
        <f>Transporte41125[[#This Row],[Custo previsto]]-Transporte41125[[#This Row],[Custo Real]]</f>
        <v>0</v>
      </c>
      <c r="F26" t="s">
        <v>59</v>
      </c>
      <c r="G26" s="11"/>
      <c r="H26" s="11"/>
      <c r="I26" s="11">
        <f>Empréstimos40124[[#This Row],[Custo previsto]]-Empréstimos40124[[#This Row],[Custo Real]]</f>
        <v>0</v>
      </c>
    </row>
    <row r="27" spans="1:9" x14ac:dyDescent="0.2">
      <c r="A27" t="s">
        <v>18</v>
      </c>
      <c r="B27" s="11"/>
      <c r="C27" s="11"/>
      <c r="D27" s="11">
        <f>Transporte41125[[#This Row],[Custo previsto]]-Transporte41125[[#This Row],[Custo Real]]</f>
        <v>0</v>
      </c>
      <c r="F27" t="s">
        <v>59</v>
      </c>
      <c r="G27" s="11"/>
      <c r="H27" s="11"/>
      <c r="I27" s="11">
        <f>Empréstimos40124[[#This Row],[Custo previsto]]-Empréstimos40124[[#This Row],[Custo Real]]</f>
        <v>0</v>
      </c>
    </row>
    <row r="28" spans="1:9" x14ac:dyDescent="0.2">
      <c r="A28" t="s">
        <v>19</v>
      </c>
      <c r="B28" s="11"/>
      <c r="C28" s="11"/>
      <c r="D28" s="11">
        <f>Transporte41125[[#This Row],[Custo previsto]]-Transporte41125[[#This Row],[Custo Real]]</f>
        <v>0</v>
      </c>
      <c r="F28" t="s">
        <v>59</v>
      </c>
      <c r="G28" s="11"/>
      <c r="H28" s="11"/>
      <c r="I28" s="11">
        <f>Empréstimos40124[[#This Row],[Custo previsto]]-Empréstimos40124[[#This Row],[Custo Real]]</f>
        <v>0</v>
      </c>
    </row>
    <row r="29" spans="1:9" x14ac:dyDescent="0.2">
      <c r="A29" t="s">
        <v>20</v>
      </c>
      <c r="B29" s="11"/>
      <c r="C29" s="11"/>
      <c r="D29" s="11">
        <f>Transporte41125[[#This Row],[Custo previsto]]-Transporte41125[[#This Row],[Custo Real]]</f>
        <v>0</v>
      </c>
      <c r="F29" t="s">
        <v>13</v>
      </c>
      <c r="G29" s="11"/>
      <c r="H29" s="11"/>
      <c r="I29" s="11">
        <f>Empréstimos40124[[#This Row],[Custo previsto]]-Empréstimos40124[[#This Row],[Custo Real]]</f>
        <v>0</v>
      </c>
    </row>
    <row r="30" spans="1:9" x14ac:dyDescent="0.2">
      <c r="A30" t="s">
        <v>21</v>
      </c>
      <c r="B30" s="11"/>
      <c r="C30" s="11"/>
      <c r="D30" s="11">
        <f>Transporte41125[[#This Row],[Custo previsto]]-Transporte41125[[#This Row],[Custo Real]]</f>
        <v>0</v>
      </c>
      <c r="F30" t="s">
        <v>14</v>
      </c>
      <c r="G30" s="11"/>
      <c r="H30" s="11"/>
      <c r="I30" s="11">
        <f>SUBTOTAL(109,Empréstimos40124[Diferença])</f>
        <v>0</v>
      </c>
    </row>
    <row r="31" spans="1:9" x14ac:dyDescent="0.2">
      <c r="A31" t="s">
        <v>13</v>
      </c>
      <c r="B31" s="11"/>
      <c r="C31" s="11"/>
      <c r="D31" s="11">
        <f>Transporte41125[[#This Row],[Custo previsto]]-Transporte41125[[#This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SUBTOTAL(109,Transporte41125[Diferença])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Impostos43127[[#This Row],[Custo previsto]]-Impostos43127[[#This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Impostos43127[[#This Row],[Custo previsto]]-Impostos43127[[#This Row],[Custo Real]]</f>
        <v>0</v>
      </c>
    </row>
    <row r="35" spans="1:9" x14ac:dyDescent="0.2">
      <c r="A35" t="s">
        <v>23</v>
      </c>
      <c r="B35" s="11"/>
      <c r="C35" s="11"/>
      <c r="D35" s="11">
        <f>Seguro42126[[#This Row],[Custo previsto]]-Seguro42126[[#This Row],[Custo Real]]</f>
        <v>0</v>
      </c>
      <c r="F35" t="s">
        <v>63</v>
      </c>
      <c r="G35" s="11"/>
      <c r="H35" s="11"/>
      <c r="I35" s="11">
        <f>Impostos43127[[#This Row],[Custo previsto]]-Impostos43127[[#This Row],[Custo Real]]</f>
        <v>0</v>
      </c>
    </row>
    <row r="36" spans="1:9" x14ac:dyDescent="0.2">
      <c r="A36" t="s">
        <v>24</v>
      </c>
      <c r="B36" s="11"/>
      <c r="C36" s="11"/>
      <c r="D36" s="11">
        <f>Seguro42126[[#This Row],[Custo previsto]]-Seguro42126[[#This Row],[Custo Real]]</f>
        <v>0</v>
      </c>
      <c r="F36" t="s">
        <v>13</v>
      </c>
      <c r="G36" s="11"/>
      <c r="H36" s="11"/>
      <c r="I36" s="11">
        <f>Impostos43127[[#This Row],[Custo previsto]]-Impostos43127[[#This Row],[Custo Real]]</f>
        <v>0</v>
      </c>
    </row>
    <row r="37" spans="1:9" x14ac:dyDescent="0.2">
      <c r="A37" t="s">
        <v>25</v>
      </c>
      <c r="B37" s="11"/>
      <c r="C37" s="11"/>
      <c r="D37" s="11">
        <f>Seguro42126[[#This Row],[Custo previsto]]-Seguro42126[[#This Row],[Custo Real]]</f>
        <v>0</v>
      </c>
      <c r="F37" t="s">
        <v>14</v>
      </c>
      <c r="G37" s="11"/>
      <c r="H37" s="11"/>
      <c r="I37" s="11">
        <f>SUBTOTAL(109,Impostos43127[Diferença])</f>
        <v>0</v>
      </c>
    </row>
    <row r="38" spans="1:9" x14ac:dyDescent="0.2">
      <c r="A38" t="s">
        <v>13</v>
      </c>
      <c r="B38" s="11"/>
      <c r="C38" s="11"/>
      <c r="D38" s="11">
        <f>Seguro42126[[#This Row],[Custo previsto]]-Seguro42126[[#This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SUBTOTAL(109,Seguro42126[Diferença])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Poupança44128[[#This Row],[Custo previsto]]-Poupança44128[[#This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Poupança44128[[#This Row],[Custo previsto]]-Poupança44128[[#This Row],[Custo Real]]</f>
        <v>0</v>
      </c>
    </row>
    <row r="42" spans="1:9" x14ac:dyDescent="0.2">
      <c r="A42" t="s">
        <v>27</v>
      </c>
      <c r="B42" s="11"/>
      <c r="C42" s="11"/>
      <c r="D42" s="11">
        <f>Alimentação45129[[#This Row],[Custo previsto]]-Alimentação45129[[#This Row],[Custo Real]]</f>
        <v>0</v>
      </c>
      <c r="F42" t="s">
        <v>13</v>
      </c>
      <c r="G42" s="11"/>
      <c r="H42" s="11"/>
      <c r="I42" s="11">
        <f>Poupança44128[[#This Row],[Custo previsto]]-Poupança44128[[#This Row],[Custo Real]]</f>
        <v>0</v>
      </c>
    </row>
    <row r="43" spans="1:9" x14ac:dyDescent="0.2">
      <c r="A43" t="s">
        <v>28</v>
      </c>
      <c r="B43" s="11"/>
      <c r="C43" s="11"/>
      <c r="D43" s="11">
        <f>Alimentação45129[[#This Row],[Custo previsto]]-Alimentação45129[[#This Row],[Custo Real]]</f>
        <v>0</v>
      </c>
      <c r="F43" t="s">
        <v>14</v>
      </c>
      <c r="G43" s="11"/>
      <c r="H43" s="11"/>
      <c r="I43" s="11">
        <f>SUBTOTAL(109,Poupança44128[Diferença])</f>
        <v>0</v>
      </c>
    </row>
    <row r="44" spans="1:9" x14ac:dyDescent="0.2">
      <c r="A44" t="s">
        <v>13</v>
      </c>
      <c r="B44" s="11"/>
      <c r="C44" s="11"/>
      <c r="D44" s="11">
        <f>Alimentação45129[[#This Row],[Custo previsto]]-Alimentação45129[[#This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SUBTOTAL(109,Alimentação45129[Diferença])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Presentes46130[[#This Row],[Custo previsto]]-Presentes46130[[#This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Presentes46130[[#This Row],[Custo previsto]]-Presentes46130[[#This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Animais_de_estimação47131[[#This Row],[Custo previsto]]-Animais_de_estimação47131[[#This Row],[Custo Real]]</f>
        <v>0</v>
      </c>
      <c r="F48" t="s">
        <v>70</v>
      </c>
      <c r="G48" s="11"/>
      <c r="H48" s="11"/>
      <c r="I48" s="11">
        <f>Presentes46130[[#This Row],[Custo previsto]]-Presentes46130[[#This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Animais_de_estimação47131[[#This Row],[Custo previsto]]-Animais_de_estimação47131[[#This Row],[Custo Real]]</f>
        <v>0</v>
      </c>
      <c r="F49" t="s">
        <v>14</v>
      </c>
      <c r="G49" s="11"/>
      <c r="H49" s="11"/>
      <c r="I49" s="11">
        <f>SUBTOTAL(109,Presentes46130[Diferença])</f>
        <v>0</v>
      </c>
    </row>
    <row r="50" spans="1:9" x14ac:dyDescent="0.2">
      <c r="A50" t="s">
        <v>32</v>
      </c>
      <c r="B50" s="11"/>
      <c r="C50" s="11"/>
      <c r="D50" s="11">
        <f>Animais_de_estimação47131[[#This Row],[Custo previsto]]-Animais_de_estimação47131[[#This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Animais_de_estimação47131[[#This Row],[Custo previsto]]-Animais_de_estimação47131[[#This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Animais_de_estimação47131[[#This Row],[Custo previsto]]-Animais_de_estimação47131[[#This Row],[Custo Real]]</f>
        <v>0</v>
      </c>
      <c r="F52" t="s">
        <v>72</v>
      </c>
      <c r="G52" s="11"/>
      <c r="H52" s="11"/>
      <c r="I52" s="11">
        <f>Assessoria_jurídica48132[[#This Row],[Custo previsto]]-Assessoria_jurídica48132[[#This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SUBTOTAL(109,Animais_de_estimação47131[Diferença])</f>
        <v>0</v>
      </c>
      <c r="F53" t="s">
        <v>73</v>
      </c>
      <c r="G53" s="11"/>
      <c r="H53" s="11"/>
      <c r="I53" s="11">
        <f>Assessoria_jurídica48132[[#This Row],[Custo previsto]]-Assessoria_jurídica48132[[#This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Assessoria_jurídica48132[[#This Row],[Custo previsto]]-Assessoria_jurídica48132[[#This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Assessoria_jurídica48132[[#This Row],[Custo previsto]]-Assessoria_jurídica48132[[#This Row],[Custo Real]]</f>
        <v>0</v>
      </c>
    </row>
    <row r="56" spans="1:9" x14ac:dyDescent="0.2">
      <c r="A56" t="s">
        <v>31</v>
      </c>
      <c r="B56" s="11"/>
      <c r="C56" s="11"/>
      <c r="D56" s="11">
        <f>CuidadosPessoais49133[[#This Row],[Custo previsto]]-CuidadosPessoais49133[[#This Row],[Custo Real]]</f>
        <v>0</v>
      </c>
      <c r="F56" t="s">
        <v>14</v>
      </c>
      <c r="G56" s="11"/>
      <c r="H56" s="11"/>
      <c r="I56" s="11">
        <f>SUBTOTAL(109,Assessoria_jurídica48132[Diferença])</f>
        <v>0</v>
      </c>
    </row>
    <row r="57" spans="1:9" x14ac:dyDescent="0.2">
      <c r="A57" t="s">
        <v>35</v>
      </c>
      <c r="B57" s="11"/>
      <c r="C57" s="11"/>
      <c r="D57" s="11">
        <f>CuidadosPessoais49133[[#This Row],[Custo previsto]]-CuidadosPessoais49133[[#This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CuidadosPessoais49133[[#This Row],[Custo previsto]]-CuidadosPessoais49133[[#This Row],[Custo Real]]</f>
        <v>0</v>
      </c>
      <c r="F58" s="20" t="s">
        <v>75</v>
      </c>
      <c r="G58" s="20"/>
      <c r="H58" s="20"/>
      <c r="I58" s="19">
        <f>SUBTOTAL(109,Moradia38122[Custo previsto],Transporte41125[Custo previsto],Seguro42126[Custo previsto],Alimentação45129[Custo previsto],Animais_de_estimação47131[Custo previsto],CuidadosPessoais49133[Custo previsto],Entretenimento39123[Custo previsto],Empréstimos40124[Custo previsto],Impostos43127[Custo previsto],Poupança44128[Custo previsto],Presentes46130[Custo previsto],Assessoria_jurídica48132[Custo previsto])</f>
        <v>1195</v>
      </c>
    </row>
    <row r="59" spans="1:9" x14ac:dyDescent="0.2">
      <c r="A59" t="s">
        <v>37</v>
      </c>
      <c r="B59" s="11"/>
      <c r="C59" s="11"/>
      <c r="D59" s="11">
        <f>CuidadosPessoais49133[[#This Row],[Custo previsto]]-CuidadosPessoais49133[[#This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CuidadosPessoais49133[[#This Row],[Custo previsto]]-CuidadosPessoais49133[[#This Row],[Custo Real]]</f>
        <v>0</v>
      </c>
      <c r="F60" s="20" t="s">
        <v>76</v>
      </c>
      <c r="G60" s="20"/>
      <c r="H60" s="20"/>
      <c r="I60" s="19">
        <f>SUBTOTAL(109,Moradia38122[Custo Real],Transporte41125[Custo Real],Seguro42126[Custo Real],Alimentação45129[Custo Real],Animais_de_estimação47131[Custo Real],CuidadosPessoais49133[Custo Real],Entretenimento39123[Custo Real],Empréstimos40124[Custo Real],Impostos43127[Custo Real],Poupança44128[Custo Real],Presentes46130[Custo Real],Assessoria_jurídica48132[Custo Real])</f>
        <v>1236</v>
      </c>
    </row>
    <row r="61" spans="1:9" x14ac:dyDescent="0.2">
      <c r="A61" t="s">
        <v>39</v>
      </c>
      <c r="B61" s="11"/>
      <c r="C61" s="11"/>
      <c r="D61" s="11">
        <f>CuidadosPessoais49133[[#This Row],[Custo previsto]]-CuidadosPessoais49133[[#This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CuidadosPessoais49133[[#This Row],[Custo previsto]]-CuidadosPessoais49133[[#This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SUBTOTAL(109,CuidadosPessoais49133[Diferença])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7" priority="2" operator="lessThan">
      <formula>0</formula>
    </cfRule>
  </conditionalFormatting>
  <conditionalFormatting sqref="I62:I63">
    <cfRule type="cellIs" dxfId="6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63B6-66D1-4499-8ECA-432ADEBAB133}">
  <dimension ref="A1:I64"/>
  <sheetViews>
    <sheetView workbookViewId="0">
      <selection activeCell="B9" sqref="B9:C9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Moradia38134[[#This Row],[Custo previsto]]-Moradia38134[[#This Row],[Custo Real]]</f>
        <v>0</v>
      </c>
      <c r="F12" t="s">
        <v>50</v>
      </c>
      <c r="G12" s="11"/>
      <c r="H12" s="11"/>
      <c r="I12" s="11">
        <f>Entretenimento39135[[#This Row],[Custo previsto]]-Entretenimento39135[[#This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Moradia38134[[#This Row],[Custo previsto]]-Moradia38134[[#This Row],[Custo Real]]</f>
        <v>-46</v>
      </c>
      <c r="F13" t="s">
        <v>51</v>
      </c>
      <c r="G13" s="11"/>
      <c r="H13" s="11"/>
      <c r="I13" s="11">
        <f>Entretenimento39135[[#This Row],[Custo previsto]]-Entretenimento39135[[#This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Moradia38134[[#This Row],[Custo previsto]]-Moradia38134[[#This Row],[Custo Real]]</f>
        <v>-12</v>
      </c>
      <c r="F14" t="s">
        <v>52</v>
      </c>
      <c r="G14" s="11"/>
      <c r="H14" s="11"/>
      <c r="I14" s="11">
        <f>Entretenimento39135[[#This Row],[Custo previsto]]-Entretenimento39135[[#This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Moradia38134[[#This Row],[Custo previsto]]-Moradia38134[[#This Row],[Custo Real]]</f>
        <v>-6</v>
      </c>
      <c r="F15" t="s">
        <v>53</v>
      </c>
      <c r="G15" s="11"/>
      <c r="H15" s="11"/>
      <c r="I15" s="11">
        <f>Entretenimento39135[[#This Row],[Custo previsto]]-Entretenimento39135[[#This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Moradia38134[[#This Row],[Custo previsto]]-Moradia38134[[#This Row],[Custo Real]]</f>
        <v>0</v>
      </c>
      <c r="F16" t="s">
        <v>54</v>
      </c>
      <c r="G16" s="11"/>
      <c r="H16" s="11"/>
      <c r="I16" s="11">
        <f>Entretenimento39135[[#This Row],[Custo previsto]]-Entretenimento39135[[#This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Moradia38134[[#This Row],[Custo previsto]]-Moradia38134[[#This Row],[Custo Real]]</f>
        <v>0</v>
      </c>
      <c r="F17" t="s">
        <v>55</v>
      </c>
      <c r="G17" s="11"/>
      <c r="H17" s="11"/>
      <c r="I17" s="11">
        <f>Entretenimento39135[[#This Row],[Custo previsto]]-Entretenimento39135[[#This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Moradia38134[[#This Row],[Custo previsto]]-Moradia38134[[#This Row],[Custo Real]]</f>
        <v>0</v>
      </c>
      <c r="F18" t="s">
        <v>13</v>
      </c>
      <c r="G18" s="11"/>
      <c r="H18" s="11"/>
      <c r="I18" s="11">
        <f>Entretenimento39135[[#This Row],[Custo previsto]]-Entretenimento39135[[#This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Moradia38134[[#This Row],[Custo previsto]]-Moradia38134[[#This Row],[Custo Real]]</f>
        <v>23</v>
      </c>
      <c r="F19" t="s">
        <v>13</v>
      </c>
      <c r="G19" s="11"/>
      <c r="H19" s="11"/>
      <c r="I19" s="11">
        <f>Entretenimento39135[[#This Row],[Custo previsto]]-Entretenimento39135[[#This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Moradia38134[[#This Row],[Custo previsto]]-Moradia38134[[#This Row],[Custo Real]]</f>
        <v>0</v>
      </c>
      <c r="F20" t="s">
        <v>13</v>
      </c>
      <c r="G20" s="11"/>
      <c r="H20" s="11"/>
      <c r="I20" s="11">
        <f>Entretenimento39135[[#This Row],[Custo previsto]]-Entretenimento39135[[#This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Moradia38134[[#This Row],[Custo previsto]]-Moradia38134[[#This Row],[Custo Real]]</f>
        <v>0</v>
      </c>
      <c r="F21" t="s">
        <v>14</v>
      </c>
      <c r="G21" s="11"/>
      <c r="H21" s="11"/>
      <c r="I21" s="11">
        <f>SUBTOTAL(109,Entretenimento39135[Diferença])</f>
        <v>0</v>
      </c>
    </row>
    <row r="22" spans="1:9" x14ac:dyDescent="0.2">
      <c r="A22" t="s">
        <v>14</v>
      </c>
      <c r="B22" s="11"/>
      <c r="C22" s="11"/>
      <c r="D22" s="11">
        <f>SUBTOTAL(109,Moradia38134[Diferença])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Empréstimos40136[[#This Row],[Custo previsto]]-Empréstimos40136[[#This Row],[Custo Real]]</f>
        <v>0</v>
      </c>
    </row>
    <row r="25" spans="1:9" x14ac:dyDescent="0.2">
      <c r="A25" t="s">
        <v>16</v>
      </c>
      <c r="B25" s="11"/>
      <c r="C25" s="11"/>
      <c r="D25" s="11">
        <f>Transporte41137[[#This Row],[Custo previsto]]-Transporte41137[[#This Row],[Custo Real]]</f>
        <v>0</v>
      </c>
      <c r="F25" t="s">
        <v>58</v>
      </c>
      <c r="G25" s="11"/>
      <c r="H25" s="11"/>
      <c r="I25" s="11">
        <f>Empréstimos40136[[#This Row],[Custo previsto]]-Empréstimos40136[[#This Row],[Custo Real]]</f>
        <v>0</v>
      </c>
    </row>
    <row r="26" spans="1:9" x14ac:dyDescent="0.2">
      <c r="A26" t="s">
        <v>17</v>
      </c>
      <c r="B26" s="11"/>
      <c r="C26" s="11"/>
      <c r="D26" s="11">
        <f>Transporte41137[[#This Row],[Custo previsto]]-Transporte41137[[#This Row],[Custo Real]]</f>
        <v>0</v>
      </c>
      <c r="F26" t="s">
        <v>59</v>
      </c>
      <c r="G26" s="11"/>
      <c r="H26" s="11"/>
      <c r="I26" s="11">
        <f>Empréstimos40136[[#This Row],[Custo previsto]]-Empréstimos40136[[#This Row],[Custo Real]]</f>
        <v>0</v>
      </c>
    </row>
    <row r="27" spans="1:9" x14ac:dyDescent="0.2">
      <c r="A27" t="s">
        <v>18</v>
      </c>
      <c r="B27" s="11"/>
      <c r="C27" s="11"/>
      <c r="D27" s="11">
        <f>Transporte41137[[#This Row],[Custo previsto]]-Transporte41137[[#This Row],[Custo Real]]</f>
        <v>0</v>
      </c>
      <c r="F27" t="s">
        <v>59</v>
      </c>
      <c r="G27" s="11"/>
      <c r="H27" s="11"/>
      <c r="I27" s="11">
        <f>Empréstimos40136[[#This Row],[Custo previsto]]-Empréstimos40136[[#This Row],[Custo Real]]</f>
        <v>0</v>
      </c>
    </row>
    <row r="28" spans="1:9" x14ac:dyDescent="0.2">
      <c r="A28" t="s">
        <v>19</v>
      </c>
      <c r="B28" s="11"/>
      <c r="C28" s="11"/>
      <c r="D28" s="11">
        <f>Transporte41137[[#This Row],[Custo previsto]]-Transporte41137[[#This Row],[Custo Real]]</f>
        <v>0</v>
      </c>
      <c r="F28" t="s">
        <v>59</v>
      </c>
      <c r="G28" s="11"/>
      <c r="H28" s="11"/>
      <c r="I28" s="11">
        <f>Empréstimos40136[[#This Row],[Custo previsto]]-Empréstimos40136[[#This Row],[Custo Real]]</f>
        <v>0</v>
      </c>
    </row>
    <row r="29" spans="1:9" x14ac:dyDescent="0.2">
      <c r="A29" t="s">
        <v>20</v>
      </c>
      <c r="B29" s="11"/>
      <c r="C29" s="11"/>
      <c r="D29" s="11">
        <f>Transporte41137[[#This Row],[Custo previsto]]-Transporte41137[[#This Row],[Custo Real]]</f>
        <v>0</v>
      </c>
      <c r="F29" t="s">
        <v>13</v>
      </c>
      <c r="G29" s="11"/>
      <c r="H29" s="11"/>
      <c r="I29" s="11">
        <f>Empréstimos40136[[#This Row],[Custo previsto]]-Empréstimos40136[[#This Row],[Custo Real]]</f>
        <v>0</v>
      </c>
    </row>
    <row r="30" spans="1:9" x14ac:dyDescent="0.2">
      <c r="A30" t="s">
        <v>21</v>
      </c>
      <c r="B30" s="11"/>
      <c r="C30" s="11"/>
      <c r="D30" s="11">
        <f>Transporte41137[[#This Row],[Custo previsto]]-Transporte41137[[#This Row],[Custo Real]]</f>
        <v>0</v>
      </c>
      <c r="F30" t="s">
        <v>14</v>
      </c>
      <c r="G30" s="11"/>
      <c r="H30" s="11"/>
      <c r="I30" s="11">
        <f>SUBTOTAL(109,Empréstimos40136[Diferença])</f>
        <v>0</v>
      </c>
    </row>
    <row r="31" spans="1:9" x14ac:dyDescent="0.2">
      <c r="A31" t="s">
        <v>13</v>
      </c>
      <c r="B31" s="11"/>
      <c r="C31" s="11"/>
      <c r="D31" s="11">
        <f>Transporte41137[[#This Row],[Custo previsto]]-Transporte41137[[#This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SUBTOTAL(109,Transporte41137[Diferença])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Impostos43139[[#This Row],[Custo previsto]]-Impostos43139[[#This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Impostos43139[[#This Row],[Custo previsto]]-Impostos43139[[#This Row],[Custo Real]]</f>
        <v>0</v>
      </c>
    </row>
    <row r="35" spans="1:9" x14ac:dyDescent="0.2">
      <c r="A35" t="s">
        <v>23</v>
      </c>
      <c r="B35" s="11"/>
      <c r="C35" s="11"/>
      <c r="D35" s="11">
        <f>Seguro42138[[#This Row],[Custo previsto]]-Seguro42138[[#This Row],[Custo Real]]</f>
        <v>0</v>
      </c>
      <c r="F35" t="s">
        <v>63</v>
      </c>
      <c r="G35" s="11"/>
      <c r="H35" s="11"/>
      <c r="I35" s="11">
        <f>Impostos43139[[#This Row],[Custo previsto]]-Impostos43139[[#This Row],[Custo Real]]</f>
        <v>0</v>
      </c>
    </row>
    <row r="36" spans="1:9" x14ac:dyDescent="0.2">
      <c r="A36" t="s">
        <v>24</v>
      </c>
      <c r="B36" s="11"/>
      <c r="C36" s="11"/>
      <c r="D36" s="11">
        <f>Seguro42138[[#This Row],[Custo previsto]]-Seguro42138[[#This Row],[Custo Real]]</f>
        <v>0</v>
      </c>
      <c r="F36" t="s">
        <v>13</v>
      </c>
      <c r="G36" s="11"/>
      <c r="H36" s="11"/>
      <c r="I36" s="11">
        <f>Impostos43139[[#This Row],[Custo previsto]]-Impostos43139[[#This Row],[Custo Real]]</f>
        <v>0</v>
      </c>
    </row>
    <row r="37" spans="1:9" x14ac:dyDescent="0.2">
      <c r="A37" t="s">
        <v>25</v>
      </c>
      <c r="B37" s="11"/>
      <c r="C37" s="11"/>
      <c r="D37" s="11">
        <f>Seguro42138[[#This Row],[Custo previsto]]-Seguro42138[[#This Row],[Custo Real]]</f>
        <v>0</v>
      </c>
      <c r="F37" t="s">
        <v>14</v>
      </c>
      <c r="G37" s="11"/>
      <c r="H37" s="11"/>
      <c r="I37" s="11">
        <f>SUBTOTAL(109,Impostos43139[Diferença])</f>
        <v>0</v>
      </c>
    </row>
    <row r="38" spans="1:9" x14ac:dyDescent="0.2">
      <c r="A38" t="s">
        <v>13</v>
      </c>
      <c r="B38" s="11"/>
      <c r="C38" s="11"/>
      <c r="D38" s="11">
        <f>Seguro42138[[#This Row],[Custo previsto]]-Seguro42138[[#This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SUBTOTAL(109,Seguro42138[Diferença])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Poupança44140[[#This Row],[Custo previsto]]-Poupança44140[[#This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Poupança44140[[#This Row],[Custo previsto]]-Poupança44140[[#This Row],[Custo Real]]</f>
        <v>0</v>
      </c>
    </row>
    <row r="42" spans="1:9" x14ac:dyDescent="0.2">
      <c r="A42" t="s">
        <v>27</v>
      </c>
      <c r="B42" s="11"/>
      <c r="C42" s="11"/>
      <c r="D42" s="11">
        <f>Alimentação45141[[#This Row],[Custo previsto]]-Alimentação45141[[#This Row],[Custo Real]]</f>
        <v>0</v>
      </c>
      <c r="F42" t="s">
        <v>13</v>
      </c>
      <c r="G42" s="11"/>
      <c r="H42" s="11"/>
      <c r="I42" s="11">
        <f>Poupança44140[[#This Row],[Custo previsto]]-Poupança44140[[#This Row],[Custo Real]]</f>
        <v>0</v>
      </c>
    </row>
    <row r="43" spans="1:9" x14ac:dyDescent="0.2">
      <c r="A43" t="s">
        <v>28</v>
      </c>
      <c r="B43" s="11"/>
      <c r="C43" s="11"/>
      <c r="D43" s="11">
        <f>Alimentação45141[[#This Row],[Custo previsto]]-Alimentação45141[[#This Row],[Custo Real]]</f>
        <v>0</v>
      </c>
      <c r="F43" t="s">
        <v>14</v>
      </c>
      <c r="G43" s="11"/>
      <c r="H43" s="11"/>
      <c r="I43" s="11">
        <f>SUBTOTAL(109,Poupança44140[Diferença])</f>
        <v>0</v>
      </c>
    </row>
    <row r="44" spans="1:9" x14ac:dyDescent="0.2">
      <c r="A44" t="s">
        <v>13</v>
      </c>
      <c r="B44" s="11"/>
      <c r="C44" s="11"/>
      <c r="D44" s="11">
        <f>Alimentação45141[[#This Row],[Custo previsto]]-Alimentação45141[[#This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SUBTOTAL(109,Alimentação45141[Diferença])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Presentes46142[[#This Row],[Custo previsto]]-Presentes46142[[#This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Presentes46142[[#This Row],[Custo previsto]]-Presentes46142[[#This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Animais_de_estimação47143[[#This Row],[Custo previsto]]-Animais_de_estimação47143[[#This Row],[Custo Real]]</f>
        <v>0</v>
      </c>
      <c r="F48" t="s">
        <v>70</v>
      </c>
      <c r="G48" s="11"/>
      <c r="H48" s="11"/>
      <c r="I48" s="11">
        <f>Presentes46142[[#This Row],[Custo previsto]]-Presentes46142[[#This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Animais_de_estimação47143[[#This Row],[Custo previsto]]-Animais_de_estimação47143[[#This Row],[Custo Real]]</f>
        <v>0</v>
      </c>
      <c r="F49" t="s">
        <v>14</v>
      </c>
      <c r="G49" s="11"/>
      <c r="H49" s="11"/>
      <c r="I49" s="11">
        <f>SUBTOTAL(109,Presentes46142[Diferença])</f>
        <v>0</v>
      </c>
    </row>
    <row r="50" spans="1:9" x14ac:dyDescent="0.2">
      <c r="A50" t="s">
        <v>32</v>
      </c>
      <c r="B50" s="11"/>
      <c r="C50" s="11"/>
      <c r="D50" s="11">
        <f>Animais_de_estimação47143[[#This Row],[Custo previsto]]-Animais_de_estimação47143[[#This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Animais_de_estimação47143[[#This Row],[Custo previsto]]-Animais_de_estimação47143[[#This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Animais_de_estimação47143[[#This Row],[Custo previsto]]-Animais_de_estimação47143[[#This Row],[Custo Real]]</f>
        <v>0</v>
      </c>
      <c r="F52" t="s">
        <v>72</v>
      </c>
      <c r="G52" s="11"/>
      <c r="H52" s="11"/>
      <c r="I52" s="11">
        <f>Assessoria_jurídica48144[[#This Row],[Custo previsto]]-Assessoria_jurídica48144[[#This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SUBTOTAL(109,Animais_de_estimação47143[Diferença])</f>
        <v>0</v>
      </c>
      <c r="F53" t="s">
        <v>73</v>
      </c>
      <c r="G53" s="11"/>
      <c r="H53" s="11"/>
      <c r="I53" s="11">
        <f>Assessoria_jurídica48144[[#This Row],[Custo previsto]]-Assessoria_jurídica48144[[#This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Assessoria_jurídica48144[[#This Row],[Custo previsto]]-Assessoria_jurídica48144[[#This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Assessoria_jurídica48144[[#This Row],[Custo previsto]]-Assessoria_jurídica48144[[#This Row],[Custo Real]]</f>
        <v>0</v>
      </c>
    </row>
    <row r="56" spans="1:9" x14ac:dyDescent="0.2">
      <c r="A56" t="s">
        <v>31</v>
      </c>
      <c r="B56" s="11"/>
      <c r="C56" s="11"/>
      <c r="D56" s="11">
        <f>CuidadosPessoais49145[[#This Row],[Custo previsto]]-CuidadosPessoais49145[[#This Row],[Custo Real]]</f>
        <v>0</v>
      </c>
      <c r="F56" t="s">
        <v>14</v>
      </c>
      <c r="G56" s="11"/>
      <c r="H56" s="11"/>
      <c r="I56" s="11">
        <f>SUBTOTAL(109,Assessoria_jurídica48144[Diferença])</f>
        <v>0</v>
      </c>
    </row>
    <row r="57" spans="1:9" x14ac:dyDescent="0.2">
      <c r="A57" t="s">
        <v>35</v>
      </c>
      <c r="B57" s="11"/>
      <c r="C57" s="11"/>
      <c r="D57" s="11">
        <f>CuidadosPessoais49145[[#This Row],[Custo previsto]]-CuidadosPessoais49145[[#This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CuidadosPessoais49145[[#This Row],[Custo previsto]]-CuidadosPessoais49145[[#This Row],[Custo Real]]</f>
        <v>0</v>
      </c>
      <c r="F58" s="20" t="s">
        <v>75</v>
      </c>
      <c r="G58" s="20"/>
      <c r="H58" s="20"/>
      <c r="I58" s="19">
        <f>SUBTOTAL(109,Moradia38134[Custo previsto],Transporte41137[Custo previsto],Seguro42138[Custo previsto],Alimentação45141[Custo previsto],Animais_de_estimação47143[Custo previsto],CuidadosPessoais49145[Custo previsto],Entretenimento39135[Custo previsto],Empréstimos40136[Custo previsto],Impostos43139[Custo previsto],Poupança44140[Custo previsto],Presentes46142[Custo previsto],Assessoria_jurídica48144[Custo previsto])</f>
        <v>1195</v>
      </c>
    </row>
    <row r="59" spans="1:9" x14ac:dyDescent="0.2">
      <c r="A59" t="s">
        <v>37</v>
      </c>
      <c r="B59" s="11"/>
      <c r="C59" s="11"/>
      <c r="D59" s="11">
        <f>CuidadosPessoais49145[[#This Row],[Custo previsto]]-CuidadosPessoais49145[[#This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CuidadosPessoais49145[[#This Row],[Custo previsto]]-CuidadosPessoais49145[[#This Row],[Custo Real]]</f>
        <v>0</v>
      </c>
      <c r="F60" s="20" t="s">
        <v>76</v>
      </c>
      <c r="G60" s="20"/>
      <c r="H60" s="20"/>
      <c r="I60" s="19">
        <f>SUBTOTAL(109,Moradia38134[Custo Real],Transporte41137[Custo Real],Seguro42138[Custo Real],Alimentação45141[Custo Real],Animais_de_estimação47143[Custo Real],CuidadosPessoais49145[Custo Real],Entretenimento39135[Custo Real],Empréstimos40136[Custo Real],Impostos43139[Custo Real],Poupança44140[Custo Real],Presentes46142[Custo Real],Assessoria_jurídica48144[Custo Real])</f>
        <v>1236</v>
      </c>
    </row>
    <row r="61" spans="1:9" x14ac:dyDescent="0.2">
      <c r="A61" t="s">
        <v>39</v>
      </c>
      <c r="B61" s="11"/>
      <c r="C61" s="11"/>
      <c r="D61" s="11">
        <f>CuidadosPessoais49145[[#This Row],[Custo previsto]]-CuidadosPessoais49145[[#This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CuidadosPessoais49145[[#This Row],[Custo previsto]]-CuidadosPessoais49145[[#This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SUBTOTAL(109,CuidadosPessoais49145[Diferença])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5" priority="2" operator="lessThan">
      <formula>0</formula>
    </cfRule>
  </conditionalFormatting>
  <conditionalFormatting sqref="I62:I63">
    <cfRule type="cellIs" dxfId="4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8264-AE98-4D68-80C2-27FA428708E2}">
  <dimension ref="A1:I64"/>
  <sheetViews>
    <sheetView topLeftCell="A4" workbookViewId="0">
      <selection activeCell="N16" sqref="N16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Moradia38146[[#This Row],[Custo previsto]]-Moradia38146[[#This Row],[Custo Real]]</f>
        <v>0</v>
      </c>
      <c r="F12" t="s">
        <v>50</v>
      </c>
      <c r="G12" s="11"/>
      <c r="H12" s="11"/>
      <c r="I12" s="11">
        <f>Entretenimento39147[[#This Row],[Custo previsto]]-Entretenimento39147[[#This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Moradia38146[[#This Row],[Custo previsto]]-Moradia38146[[#This Row],[Custo Real]]</f>
        <v>-46</v>
      </c>
      <c r="F13" t="s">
        <v>51</v>
      </c>
      <c r="G13" s="11"/>
      <c r="H13" s="11"/>
      <c r="I13" s="11">
        <f>Entretenimento39147[[#This Row],[Custo previsto]]-Entretenimento39147[[#This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Moradia38146[[#This Row],[Custo previsto]]-Moradia38146[[#This Row],[Custo Real]]</f>
        <v>-12</v>
      </c>
      <c r="F14" t="s">
        <v>52</v>
      </c>
      <c r="G14" s="11"/>
      <c r="H14" s="11"/>
      <c r="I14" s="11">
        <f>Entretenimento39147[[#This Row],[Custo previsto]]-Entretenimento39147[[#This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Moradia38146[[#This Row],[Custo previsto]]-Moradia38146[[#This Row],[Custo Real]]</f>
        <v>-6</v>
      </c>
      <c r="F15" t="s">
        <v>53</v>
      </c>
      <c r="G15" s="11"/>
      <c r="H15" s="11"/>
      <c r="I15" s="11">
        <f>Entretenimento39147[[#This Row],[Custo previsto]]-Entretenimento39147[[#This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Moradia38146[[#This Row],[Custo previsto]]-Moradia38146[[#This Row],[Custo Real]]</f>
        <v>0</v>
      </c>
      <c r="F16" t="s">
        <v>54</v>
      </c>
      <c r="G16" s="11"/>
      <c r="H16" s="11"/>
      <c r="I16" s="11">
        <f>Entretenimento39147[[#This Row],[Custo previsto]]-Entretenimento39147[[#This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Moradia38146[[#This Row],[Custo previsto]]-Moradia38146[[#This Row],[Custo Real]]</f>
        <v>0</v>
      </c>
      <c r="F17" t="s">
        <v>55</v>
      </c>
      <c r="G17" s="11"/>
      <c r="H17" s="11"/>
      <c r="I17" s="11">
        <f>Entretenimento39147[[#This Row],[Custo previsto]]-Entretenimento39147[[#This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Moradia38146[[#This Row],[Custo previsto]]-Moradia38146[[#This Row],[Custo Real]]</f>
        <v>0</v>
      </c>
      <c r="F18" t="s">
        <v>13</v>
      </c>
      <c r="G18" s="11"/>
      <c r="H18" s="11"/>
      <c r="I18" s="11">
        <f>Entretenimento39147[[#This Row],[Custo previsto]]-Entretenimento39147[[#This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Moradia38146[[#This Row],[Custo previsto]]-Moradia38146[[#This Row],[Custo Real]]</f>
        <v>23</v>
      </c>
      <c r="F19" t="s">
        <v>13</v>
      </c>
      <c r="G19" s="11"/>
      <c r="H19" s="11"/>
      <c r="I19" s="11">
        <f>Entretenimento39147[[#This Row],[Custo previsto]]-Entretenimento39147[[#This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Moradia38146[[#This Row],[Custo previsto]]-Moradia38146[[#This Row],[Custo Real]]</f>
        <v>0</v>
      </c>
      <c r="F20" t="s">
        <v>13</v>
      </c>
      <c r="G20" s="11"/>
      <c r="H20" s="11"/>
      <c r="I20" s="11">
        <f>Entretenimento39147[[#This Row],[Custo previsto]]-Entretenimento39147[[#This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Moradia38146[[#This Row],[Custo previsto]]-Moradia38146[[#This Row],[Custo Real]]</f>
        <v>0</v>
      </c>
      <c r="F21" t="s">
        <v>14</v>
      </c>
      <c r="G21" s="11"/>
      <c r="H21" s="11"/>
      <c r="I21" s="11">
        <f>SUBTOTAL(109,Entretenimento39147[Diferença])</f>
        <v>0</v>
      </c>
    </row>
    <row r="22" spans="1:9" x14ac:dyDescent="0.2">
      <c r="A22" t="s">
        <v>14</v>
      </c>
      <c r="B22" s="11"/>
      <c r="C22" s="11"/>
      <c r="D22" s="11">
        <f>SUBTOTAL(109,Moradia38146[Diferença])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Empréstimos40148[[#This Row],[Custo previsto]]-Empréstimos40148[[#This Row],[Custo Real]]</f>
        <v>0</v>
      </c>
    </row>
    <row r="25" spans="1:9" x14ac:dyDescent="0.2">
      <c r="A25" t="s">
        <v>16</v>
      </c>
      <c r="B25" s="11"/>
      <c r="C25" s="11"/>
      <c r="D25" s="11">
        <f>Transporte41149[[#This Row],[Custo previsto]]-Transporte41149[[#This Row],[Custo Real]]</f>
        <v>0</v>
      </c>
      <c r="F25" t="s">
        <v>58</v>
      </c>
      <c r="G25" s="11"/>
      <c r="H25" s="11"/>
      <c r="I25" s="11">
        <f>Empréstimos40148[[#This Row],[Custo previsto]]-Empréstimos40148[[#This Row],[Custo Real]]</f>
        <v>0</v>
      </c>
    </row>
    <row r="26" spans="1:9" x14ac:dyDescent="0.2">
      <c r="A26" t="s">
        <v>17</v>
      </c>
      <c r="B26" s="11"/>
      <c r="C26" s="11"/>
      <c r="D26" s="11">
        <f>Transporte41149[[#This Row],[Custo previsto]]-Transporte41149[[#This Row],[Custo Real]]</f>
        <v>0</v>
      </c>
      <c r="F26" t="s">
        <v>59</v>
      </c>
      <c r="G26" s="11"/>
      <c r="H26" s="11"/>
      <c r="I26" s="11">
        <f>Empréstimos40148[[#This Row],[Custo previsto]]-Empréstimos40148[[#This Row],[Custo Real]]</f>
        <v>0</v>
      </c>
    </row>
    <row r="27" spans="1:9" x14ac:dyDescent="0.2">
      <c r="A27" t="s">
        <v>18</v>
      </c>
      <c r="B27" s="11"/>
      <c r="C27" s="11"/>
      <c r="D27" s="11">
        <f>Transporte41149[[#This Row],[Custo previsto]]-Transporte41149[[#This Row],[Custo Real]]</f>
        <v>0</v>
      </c>
      <c r="F27" t="s">
        <v>59</v>
      </c>
      <c r="G27" s="11"/>
      <c r="H27" s="11"/>
      <c r="I27" s="11">
        <f>Empréstimos40148[[#This Row],[Custo previsto]]-Empréstimos40148[[#This Row],[Custo Real]]</f>
        <v>0</v>
      </c>
    </row>
    <row r="28" spans="1:9" x14ac:dyDescent="0.2">
      <c r="A28" t="s">
        <v>19</v>
      </c>
      <c r="B28" s="11"/>
      <c r="C28" s="11"/>
      <c r="D28" s="11">
        <f>Transporte41149[[#This Row],[Custo previsto]]-Transporte41149[[#This Row],[Custo Real]]</f>
        <v>0</v>
      </c>
      <c r="F28" t="s">
        <v>59</v>
      </c>
      <c r="G28" s="11"/>
      <c r="H28" s="11"/>
      <c r="I28" s="11">
        <f>Empréstimos40148[[#This Row],[Custo previsto]]-Empréstimos40148[[#This Row],[Custo Real]]</f>
        <v>0</v>
      </c>
    </row>
    <row r="29" spans="1:9" x14ac:dyDescent="0.2">
      <c r="A29" t="s">
        <v>20</v>
      </c>
      <c r="B29" s="11"/>
      <c r="C29" s="11"/>
      <c r="D29" s="11">
        <f>Transporte41149[[#This Row],[Custo previsto]]-Transporte41149[[#This Row],[Custo Real]]</f>
        <v>0</v>
      </c>
      <c r="F29" t="s">
        <v>13</v>
      </c>
      <c r="G29" s="11"/>
      <c r="H29" s="11"/>
      <c r="I29" s="11">
        <f>Empréstimos40148[[#This Row],[Custo previsto]]-Empréstimos40148[[#This Row],[Custo Real]]</f>
        <v>0</v>
      </c>
    </row>
    <row r="30" spans="1:9" x14ac:dyDescent="0.2">
      <c r="A30" t="s">
        <v>21</v>
      </c>
      <c r="B30" s="11"/>
      <c r="C30" s="11"/>
      <c r="D30" s="11">
        <f>Transporte41149[[#This Row],[Custo previsto]]-Transporte41149[[#This Row],[Custo Real]]</f>
        <v>0</v>
      </c>
      <c r="F30" t="s">
        <v>14</v>
      </c>
      <c r="G30" s="11"/>
      <c r="H30" s="11"/>
      <c r="I30" s="11">
        <f>SUBTOTAL(109,Empréstimos40148[Diferença])</f>
        <v>0</v>
      </c>
    </row>
    <row r="31" spans="1:9" x14ac:dyDescent="0.2">
      <c r="A31" t="s">
        <v>13</v>
      </c>
      <c r="B31" s="11"/>
      <c r="C31" s="11"/>
      <c r="D31" s="11">
        <f>Transporte41149[[#This Row],[Custo previsto]]-Transporte41149[[#This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SUBTOTAL(109,Transporte41149[Diferença])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Impostos43151[[#This Row],[Custo previsto]]-Impostos43151[[#This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Impostos43151[[#This Row],[Custo previsto]]-Impostos43151[[#This Row],[Custo Real]]</f>
        <v>0</v>
      </c>
    </row>
    <row r="35" spans="1:9" x14ac:dyDescent="0.2">
      <c r="A35" t="s">
        <v>23</v>
      </c>
      <c r="B35" s="11"/>
      <c r="C35" s="11"/>
      <c r="D35" s="11">
        <f>Seguro42150[[#This Row],[Custo previsto]]-Seguro42150[[#This Row],[Custo Real]]</f>
        <v>0</v>
      </c>
      <c r="F35" t="s">
        <v>63</v>
      </c>
      <c r="G35" s="11"/>
      <c r="H35" s="11"/>
      <c r="I35" s="11">
        <f>Impostos43151[[#This Row],[Custo previsto]]-Impostos43151[[#This Row],[Custo Real]]</f>
        <v>0</v>
      </c>
    </row>
    <row r="36" spans="1:9" x14ac:dyDescent="0.2">
      <c r="A36" t="s">
        <v>24</v>
      </c>
      <c r="B36" s="11"/>
      <c r="C36" s="11"/>
      <c r="D36" s="11">
        <f>Seguro42150[[#This Row],[Custo previsto]]-Seguro42150[[#This Row],[Custo Real]]</f>
        <v>0</v>
      </c>
      <c r="F36" t="s">
        <v>13</v>
      </c>
      <c r="G36" s="11"/>
      <c r="H36" s="11"/>
      <c r="I36" s="11">
        <f>Impostos43151[[#This Row],[Custo previsto]]-Impostos43151[[#This Row],[Custo Real]]</f>
        <v>0</v>
      </c>
    </row>
    <row r="37" spans="1:9" x14ac:dyDescent="0.2">
      <c r="A37" t="s">
        <v>25</v>
      </c>
      <c r="B37" s="11"/>
      <c r="C37" s="11"/>
      <c r="D37" s="11">
        <f>Seguro42150[[#This Row],[Custo previsto]]-Seguro42150[[#This Row],[Custo Real]]</f>
        <v>0</v>
      </c>
      <c r="F37" t="s">
        <v>14</v>
      </c>
      <c r="G37" s="11"/>
      <c r="H37" s="11"/>
      <c r="I37" s="11">
        <f>SUBTOTAL(109,Impostos43151[Diferença])</f>
        <v>0</v>
      </c>
    </row>
    <row r="38" spans="1:9" x14ac:dyDescent="0.2">
      <c r="A38" t="s">
        <v>13</v>
      </c>
      <c r="B38" s="11"/>
      <c r="C38" s="11"/>
      <c r="D38" s="11">
        <f>Seguro42150[[#This Row],[Custo previsto]]-Seguro42150[[#This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SUBTOTAL(109,Seguro42150[Diferença])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Poupança44152[[#This Row],[Custo previsto]]-Poupança44152[[#This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Poupança44152[[#This Row],[Custo previsto]]-Poupança44152[[#This Row],[Custo Real]]</f>
        <v>0</v>
      </c>
    </row>
    <row r="42" spans="1:9" x14ac:dyDescent="0.2">
      <c r="A42" t="s">
        <v>27</v>
      </c>
      <c r="B42" s="11"/>
      <c r="C42" s="11"/>
      <c r="D42" s="11">
        <f>Alimentação45153[[#This Row],[Custo previsto]]-Alimentação45153[[#This Row],[Custo Real]]</f>
        <v>0</v>
      </c>
      <c r="F42" t="s">
        <v>13</v>
      </c>
      <c r="G42" s="11"/>
      <c r="H42" s="11"/>
      <c r="I42" s="11">
        <f>Poupança44152[[#This Row],[Custo previsto]]-Poupança44152[[#This Row],[Custo Real]]</f>
        <v>0</v>
      </c>
    </row>
    <row r="43" spans="1:9" x14ac:dyDescent="0.2">
      <c r="A43" t="s">
        <v>28</v>
      </c>
      <c r="B43" s="11"/>
      <c r="C43" s="11"/>
      <c r="D43" s="11">
        <f>Alimentação45153[[#This Row],[Custo previsto]]-Alimentação45153[[#This Row],[Custo Real]]</f>
        <v>0</v>
      </c>
      <c r="F43" t="s">
        <v>14</v>
      </c>
      <c r="G43" s="11"/>
      <c r="H43" s="11"/>
      <c r="I43" s="11">
        <f>SUBTOTAL(109,Poupança44152[Diferença])</f>
        <v>0</v>
      </c>
    </row>
    <row r="44" spans="1:9" x14ac:dyDescent="0.2">
      <c r="A44" t="s">
        <v>13</v>
      </c>
      <c r="B44" s="11"/>
      <c r="C44" s="11"/>
      <c r="D44" s="11">
        <f>Alimentação45153[[#This Row],[Custo previsto]]-Alimentação45153[[#This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SUBTOTAL(109,Alimentação45153[Diferença])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Presentes46154[[#This Row],[Custo previsto]]-Presentes46154[[#This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Presentes46154[[#This Row],[Custo previsto]]-Presentes46154[[#This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Animais_de_estimação47155[[#This Row],[Custo previsto]]-Animais_de_estimação47155[[#This Row],[Custo Real]]</f>
        <v>0</v>
      </c>
      <c r="F48" t="s">
        <v>70</v>
      </c>
      <c r="G48" s="11"/>
      <c r="H48" s="11"/>
      <c r="I48" s="11">
        <f>Presentes46154[[#This Row],[Custo previsto]]-Presentes46154[[#This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Animais_de_estimação47155[[#This Row],[Custo previsto]]-Animais_de_estimação47155[[#This Row],[Custo Real]]</f>
        <v>0</v>
      </c>
      <c r="F49" t="s">
        <v>14</v>
      </c>
      <c r="G49" s="11"/>
      <c r="H49" s="11"/>
      <c r="I49" s="11">
        <f>SUBTOTAL(109,Presentes46154[Diferença])</f>
        <v>0</v>
      </c>
    </row>
    <row r="50" spans="1:9" x14ac:dyDescent="0.2">
      <c r="A50" t="s">
        <v>32</v>
      </c>
      <c r="B50" s="11"/>
      <c r="C50" s="11"/>
      <c r="D50" s="11">
        <f>Animais_de_estimação47155[[#This Row],[Custo previsto]]-Animais_de_estimação47155[[#This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Animais_de_estimação47155[[#This Row],[Custo previsto]]-Animais_de_estimação47155[[#This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Animais_de_estimação47155[[#This Row],[Custo previsto]]-Animais_de_estimação47155[[#This Row],[Custo Real]]</f>
        <v>0</v>
      </c>
      <c r="F52" t="s">
        <v>72</v>
      </c>
      <c r="G52" s="11"/>
      <c r="H52" s="11"/>
      <c r="I52" s="11">
        <f>Assessoria_jurídica48156[[#This Row],[Custo previsto]]-Assessoria_jurídica48156[[#This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SUBTOTAL(109,Animais_de_estimação47155[Diferença])</f>
        <v>0</v>
      </c>
      <c r="F53" t="s">
        <v>73</v>
      </c>
      <c r="G53" s="11"/>
      <c r="H53" s="11"/>
      <c r="I53" s="11">
        <f>Assessoria_jurídica48156[[#This Row],[Custo previsto]]-Assessoria_jurídica48156[[#This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Assessoria_jurídica48156[[#This Row],[Custo previsto]]-Assessoria_jurídica48156[[#This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Assessoria_jurídica48156[[#This Row],[Custo previsto]]-Assessoria_jurídica48156[[#This Row],[Custo Real]]</f>
        <v>0</v>
      </c>
    </row>
    <row r="56" spans="1:9" x14ac:dyDescent="0.2">
      <c r="A56" t="s">
        <v>31</v>
      </c>
      <c r="B56" s="11"/>
      <c r="C56" s="11"/>
      <c r="D56" s="11">
        <f>CuidadosPessoais49157[[#This Row],[Custo previsto]]-CuidadosPessoais49157[[#This Row],[Custo Real]]</f>
        <v>0</v>
      </c>
      <c r="F56" t="s">
        <v>14</v>
      </c>
      <c r="G56" s="11"/>
      <c r="H56" s="11"/>
      <c r="I56" s="11">
        <f>SUBTOTAL(109,Assessoria_jurídica48156[Diferença])</f>
        <v>0</v>
      </c>
    </row>
    <row r="57" spans="1:9" x14ac:dyDescent="0.2">
      <c r="A57" t="s">
        <v>35</v>
      </c>
      <c r="B57" s="11"/>
      <c r="C57" s="11"/>
      <c r="D57" s="11">
        <f>CuidadosPessoais49157[[#This Row],[Custo previsto]]-CuidadosPessoais49157[[#This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CuidadosPessoais49157[[#This Row],[Custo previsto]]-CuidadosPessoais49157[[#This Row],[Custo Real]]</f>
        <v>0</v>
      </c>
      <c r="F58" s="20" t="s">
        <v>75</v>
      </c>
      <c r="G58" s="20"/>
      <c r="H58" s="20"/>
      <c r="I58" s="19">
        <f>SUBTOTAL(109,Moradia38146[Custo previsto],Transporte41149[Custo previsto],Seguro42150[Custo previsto],Alimentação45153[Custo previsto],Animais_de_estimação47155[Custo previsto],CuidadosPessoais49157[Custo previsto],Entretenimento39147[Custo previsto],Empréstimos40148[Custo previsto],Impostos43151[Custo previsto],Poupança44152[Custo previsto],Presentes46154[Custo previsto],Assessoria_jurídica48156[Custo previsto])</f>
        <v>1195</v>
      </c>
    </row>
    <row r="59" spans="1:9" x14ac:dyDescent="0.2">
      <c r="A59" t="s">
        <v>37</v>
      </c>
      <c r="B59" s="11"/>
      <c r="C59" s="11"/>
      <c r="D59" s="11">
        <f>CuidadosPessoais49157[[#This Row],[Custo previsto]]-CuidadosPessoais49157[[#This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CuidadosPessoais49157[[#This Row],[Custo previsto]]-CuidadosPessoais49157[[#This Row],[Custo Real]]</f>
        <v>0</v>
      </c>
      <c r="F60" s="20" t="s">
        <v>76</v>
      </c>
      <c r="G60" s="20"/>
      <c r="H60" s="20"/>
      <c r="I60" s="19">
        <f>SUBTOTAL(109,Moradia38146[Custo Real],Transporte41149[Custo Real],Seguro42150[Custo Real],Alimentação45153[Custo Real],Animais_de_estimação47155[Custo Real],CuidadosPessoais49157[Custo Real],Entretenimento39147[Custo Real],Empréstimos40148[Custo Real],Impostos43151[Custo Real],Poupança44152[Custo Real],Presentes46154[Custo Real],Assessoria_jurídica48156[Custo Real])</f>
        <v>1236</v>
      </c>
    </row>
    <row r="61" spans="1:9" x14ac:dyDescent="0.2">
      <c r="A61" t="s">
        <v>39</v>
      </c>
      <c r="B61" s="11"/>
      <c r="C61" s="11"/>
      <c r="D61" s="11">
        <f>CuidadosPessoais49157[[#This Row],[Custo previsto]]-CuidadosPessoais49157[[#This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CuidadosPessoais49157[[#This Row],[Custo previsto]]-CuidadosPessoais49157[[#This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SUBTOTAL(109,CuidadosPessoais49157[Diferença])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3" priority="2" operator="lessThan">
      <formula>0</formula>
    </cfRule>
  </conditionalFormatting>
  <conditionalFormatting sqref="I62:I63">
    <cfRule type="cellIs" dxfId="2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9C6C-48E2-49FC-9232-63F607CB3FAE}">
  <dimension ref="A1:I64"/>
  <sheetViews>
    <sheetView workbookViewId="0">
      <selection activeCell="N10" sqref="N10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Moradia38158[[#This Row],[Custo previsto]]-Moradia38158[[#This Row],[Custo Real]]</f>
        <v>0</v>
      </c>
      <c r="F12" t="s">
        <v>50</v>
      </c>
      <c r="G12" s="11"/>
      <c r="H12" s="11"/>
      <c r="I12" s="11">
        <f>Entretenimento39159[[#This Row],[Custo previsto]]-Entretenimento39159[[#This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Moradia38158[[#This Row],[Custo previsto]]-Moradia38158[[#This Row],[Custo Real]]</f>
        <v>-46</v>
      </c>
      <c r="F13" t="s">
        <v>51</v>
      </c>
      <c r="G13" s="11"/>
      <c r="H13" s="11"/>
      <c r="I13" s="11">
        <f>Entretenimento39159[[#This Row],[Custo previsto]]-Entretenimento39159[[#This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Moradia38158[[#This Row],[Custo previsto]]-Moradia38158[[#This Row],[Custo Real]]</f>
        <v>-12</v>
      </c>
      <c r="F14" t="s">
        <v>52</v>
      </c>
      <c r="G14" s="11"/>
      <c r="H14" s="11"/>
      <c r="I14" s="11">
        <f>Entretenimento39159[[#This Row],[Custo previsto]]-Entretenimento39159[[#This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Moradia38158[[#This Row],[Custo previsto]]-Moradia38158[[#This Row],[Custo Real]]</f>
        <v>-6</v>
      </c>
      <c r="F15" t="s">
        <v>53</v>
      </c>
      <c r="G15" s="11"/>
      <c r="H15" s="11"/>
      <c r="I15" s="11">
        <f>Entretenimento39159[[#This Row],[Custo previsto]]-Entretenimento39159[[#This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Moradia38158[[#This Row],[Custo previsto]]-Moradia38158[[#This Row],[Custo Real]]</f>
        <v>0</v>
      </c>
      <c r="F16" t="s">
        <v>54</v>
      </c>
      <c r="G16" s="11"/>
      <c r="H16" s="11"/>
      <c r="I16" s="11">
        <f>Entretenimento39159[[#This Row],[Custo previsto]]-Entretenimento39159[[#This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Moradia38158[[#This Row],[Custo previsto]]-Moradia38158[[#This Row],[Custo Real]]</f>
        <v>0</v>
      </c>
      <c r="F17" t="s">
        <v>55</v>
      </c>
      <c r="G17" s="11"/>
      <c r="H17" s="11"/>
      <c r="I17" s="11">
        <f>Entretenimento39159[[#This Row],[Custo previsto]]-Entretenimento39159[[#This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Moradia38158[[#This Row],[Custo previsto]]-Moradia38158[[#This Row],[Custo Real]]</f>
        <v>0</v>
      </c>
      <c r="F18" t="s">
        <v>13</v>
      </c>
      <c r="G18" s="11"/>
      <c r="H18" s="11"/>
      <c r="I18" s="11">
        <f>Entretenimento39159[[#This Row],[Custo previsto]]-Entretenimento39159[[#This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Moradia38158[[#This Row],[Custo previsto]]-Moradia38158[[#This Row],[Custo Real]]</f>
        <v>23</v>
      </c>
      <c r="F19" t="s">
        <v>13</v>
      </c>
      <c r="G19" s="11"/>
      <c r="H19" s="11"/>
      <c r="I19" s="11">
        <f>Entretenimento39159[[#This Row],[Custo previsto]]-Entretenimento39159[[#This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Moradia38158[[#This Row],[Custo previsto]]-Moradia38158[[#This Row],[Custo Real]]</f>
        <v>0</v>
      </c>
      <c r="F20" t="s">
        <v>13</v>
      </c>
      <c r="G20" s="11"/>
      <c r="H20" s="11"/>
      <c r="I20" s="11">
        <f>Entretenimento39159[[#This Row],[Custo previsto]]-Entretenimento39159[[#This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Moradia38158[[#This Row],[Custo previsto]]-Moradia38158[[#This Row],[Custo Real]]</f>
        <v>0</v>
      </c>
      <c r="F21" t="s">
        <v>14</v>
      </c>
      <c r="G21" s="11"/>
      <c r="H21" s="11"/>
      <c r="I21" s="11">
        <f>SUBTOTAL(109,Entretenimento39159[Diferença])</f>
        <v>0</v>
      </c>
    </row>
    <row r="22" spans="1:9" x14ac:dyDescent="0.2">
      <c r="A22" t="s">
        <v>14</v>
      </c>
      <c r="B22" s="11"/>
      <c r="C22" s="11"/>
      <c r="D22" s="11">
        <f>SUBTOTAL(109,Moradia38158[Diferença])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Empréstimos40160[[#This Row],[Custo previsto]]-Empréstimos40160[[#This Row],[Custo Real]]</f>
        <v>0</v>
      </c>
    </row>
    <row r="25" spans="1:9" x14ac:dyDescent="0.2">
      <c r="A25" t="s">
        <v>16</v>
      </c>
      <c r="B25" s="11"/>
      <c r="C25" s="11"/>
      <c r="D25" s="11">
        <f>Transporte41161[[#This Row],[Custo previsto]]-Transporte41161[[#This Row],[Custo Real]]</f>
        <v>0</v>
      </c>
      <c r="F25" t="s">
        <v>58</v>
      </c>
      <c r="G25" s="11"/>
      <c r="H25" s="11"/>
      <c r="I25" s="11">
        <f>Empréstimos40160[[#This Row],[Custo previsto]]-Empréstimos40160[[#This Row],[Custo Real]]</f>
        <v>0</v>
      </c>
    </row>
    <row r="26" spans="1:9" x14ac:dyDescent="0.2">
      <c r="A26" t="s">
        <v>17</v>
      </c>
      <c r="B26" s="11"/>
      <c r="C26" s="11"/>
      <c r="D26" s="11">
        <f>Transporte41161[[#This Row],[Custo previsto]]-Transporte41161[[#This Row],[Custo Real]]</f>
        <v>0</v>
      </c>
      <c r="F26" t="s">
        <v>59</v>
      </c>
      <c r="G26" s="11"/>
      <c r="H26" s="11"/>
      <c r="I26" s="11">
        <f>Empréstimos40160[[#This Row],[Custo previsto]]-Empréstimos40160[[#This Row],[Custo Real]]</f>
        <v>0</v>
      </c>
    </row>
    <row r="27" spans="1:9" x14ac:dyDescent="0.2">
      <c r="A27" t="s">
        <v>18</v>
      </c>
      <c r="B27" s="11"/>
      <c r="C27" s="11"/>
      <c r="D27" s="11">
        <f>Transporte41161[[#This Row],[Custo previsto]]-Transporte41161[[#This Row],[Custo Real]]</f>
        <v>0</v>
      </c>
      <c r="F27" t="s">
        <v>59</v>
      </c>
      <c r="G27" s="11"/>
      <c r="H27" s="11"/>
      <c r="I27" s="11">
        <f>Empréstimos40160[[#This Row],[Custo previsto]]-Empréstimos40160[[#This Row],[Custo Real]]</f>
        <v>0</v>
      </c>
    </row>
    <row r="28" spans="1:9" x14ac:dyDescent="0.2">
      <c r="A28" t="s">
        <v>19</v>
      </c>
      <c r="B28" s="11"/>
      <c r="C28" s="11"/>
      <c r="D28" s="11">
        <f>Transporte41161[[#This Row],[Custo previsto]]-Transporte41161[[#This Row],[Custo Real]]</f>
        <v>0</v>
      </c>
      <c r="F28" t="s">
        <v>59</v>
      </c>
      <c r="G28" s="11"/>
      <c r="H28" s="11"/>
      <c r="I28" s="11">
        <f>Empréstimos40160[[#This Row],[Custo previsto]]-Empréstimos40160[[#This Row],[Custo Real]]</f>
        <v>0</v>
      </c>
    </row>
    <row r="29" spans="1:9" x14ac:dyDescent="0.2">
      <c r="A29" t="s">
        <v>20</v>
      </c>
      <c r="B29" s="11"/>
      <c r="C29" s="11"/>
      <c r="D29" s="11">
        <f>Transporte41161[[#This Row],[Custo previsto]]-Transporte41161[[#This Row],[Custo Real]]</f>
        <v>0</v>
      </c>
      <c r="F29" t="s">
        <v>13</v>
      </c>
      <c r="G29" s="11"/>
      <c r="H29" s="11"/>
      <c r="I29" s="11">
        <f>Empréstimos40160[[#This Row],[Custo previsto]]-Empréstimos40160[[#This Row],[Custo Real]]</f>
        <v>0</v>
      </c>
    </row>
    <row r="30" spans="1:9" x14ac:dyDescent="0.2">
      <c r="A30" t="s">
        <v>21</v>
      </c>
      <c r="B30" s="11"/>
      <c r="C30" s="11"/>
      <c r="D30" s="11">
        <f>Transporte41161[[#This Row],[Custo previsto]]-Transporte41161[[#This Row],[Custo Real]]</f>
        <v>0</v>
      </c>
      <c r="F30" t="s">
        <v>14</v>
      </c>
      <c r="G30" s="11"/>
      <c r="H30" s="11"/>
      <c r="I30" s="11">
        <f>SUBTOTAL(109,Empréstimos40160[Diferença])</f>
        <v>0</v>
      </c>
    </row>
    <row r="31" spans="1:9" x14ac:dyDescent="0.2">
      <c r="A31" t="s">
        <v>13</v>
      </c>
      <c r="B31" s="11"/>
      <c r="C31" s="11"/>
      <c r="D31" s="11">
        <f>Transporte41161[[#This Row],[Custo previsto]]-Transporte41161[[#This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SUBTOTAL(109,Transporte41161[Diferença])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Impostos43163[[#This Row],[Custo previsto]]-Impostos43163[[#This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Impostos43163[[#This Row],[Custo previsto]]-Impostos43163[[#This Row],[Custo Real]]</f>
        <v>0</v>
      </c>
    </row>
    <row r="35" spans="1:9" x14ac:dyDescent="0.2">
      <c r="A35" t="s">
        <v>23</v>
      </c>
      <c r="B35" s="11"/>
      <c r="C35" s="11"/>
      <c r="D35" s="11">
        <f>Seguro42162[[#This Row],[Custo previsto]]-Seguro42162[[#This Row],[Custo Real]]</f>
        <v>0</v>
      </c>
      <c r="F35" t="s">
        <v>63</v>
      </c>
      <c r="G35" s="11"/>
      <c r="H35" s="11"/>
      <c r="I35" s="11">
        <f>Impostos43163[[#This Row],[Custo previsto]]-Impostos43163[[#This Row],[Custo Real]]</f>
        <v>0</v>
      </c>
    </row>
    <row r="36" spans="1:9" x14ac:dyDescent="0.2">
      <c r="A36" t="s">
        <v>24</v>
      </c>
      <c r="B36" s="11"/>
      <c r="C36" s="11"/>
      <c r="D36" s="11">
        <f>Seguro42162[[#This Row],[Custo previsto]]-Seguro42162[[#This Row],[Custo Real]]</f>
        <v>0</v>
      </c>
      <c r="F36" t="s">
        <v>13</v>
      </c>
      <c r="G36" s="11"/>
      <c r="H36" s="11"/>
      <c r="I36" s="11">
        <f>Impostos43163[[#This Row],[Custo previsto]]-Impostos43163[[#This Row],[Custo Real]]</f>
        <v>0</v>
      </c>
    </row>
    <row r="37" spans="1:9" x14ac:dyDescent="0.2">
      <c r="A37" t="s">
        <v>25</v>
      </c>
      <c r="B37" s="11"/>
      <c r="C37" s="11"/>
      <c r="D37" s="11">
        <f>Seguro42162[[#This Row],[Custo previsto]]-Seguro42162[[#This Row],[Custo Real]]</f>
        <v>0</v>
      </c>
      <c r="F37" t="s">
        <v>14</v>
      </c>
      <c r="G37" s="11"/>
      <c r="H37" s="11"/>
      <c r="I37" s="11">
        <f>SUBTOTAL(109,Impostos43163[Diferença])</f>
        <v>0</v>
      </c>
    </row>
    <row r="38" spans="1:9" x14ac:dyDescent="0.2">
      <c r="A38" t="s">
        <v>13</v>
      </c>
      <c r="B38" s="11"/>
      <c r="C38" s="11"/>
      <c r="D38" s="11">
        <f>Seguro42162[[#This Row],[Custo previsto]]-Seguro42162[[#This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SUBTOTAL(109,Seguro42162[Diferença])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Poupança44164[[#This Row],[Custo previsto]]-Poupança44164[[#This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Poupança44164[[#This Row],[Custo previsto]]-Poupança44164[[#This Row],[Custo Real]]</f>
        <v>0</v>
      </c>
    </row>
    <row r="42" spans="1:9" x14ac:dyDescent="0.2">
      <c r="A42" t="s">
        <v>27</v>
      </c>
      <c r="B42" s="11"/>
      <c r="C42" s="11"/>
      <c r="D42" s="11">
        <f>Alimentação45165[[#This Row],[Custo previsto]]-Alimentação45165[[#This Row],[Custo Real]]</f>
        <v>0</v>
      </c>
      <c r="F42" t="s">
        <v>13</v>
      </c>
      <c r="G42" s="11"/>
      <c r="H42" s="11"/>
      <c r="I42" s="11">
        <f>Poupança44164[[#This Row],[Custo previsto]]-Poupança44164[[#This Row],[Custo Real]]</f>
        <v>0</v>
      </c>
    </row>
    <row r="43" spans="1:9" x14ac:dyDescent="0.2">
      <c r="A43" t="s">
        <v>28</v>
      </c>
      <c r="B43" s="11"/>
      <c r="C43" s="11"/>
      <c r="D43" s="11">
        <f>Alimentação45165[[#This Row],[Custo previsto]]-Alimentação45165[[#This Row],[Custo Real]]</f>
        <v>0</v>
      </c>
      <c r="F43" t="s">
        <v>14</v>
      </c>
      <c r="G43" s="11"/>
      <c r="H43" s="11"/>
      <c r="I43" s="11">
        <f>SUBTOTAL(109,Poupança44164[Diferença])</f>
        <v>0</v>
      </c>
    </row>
    <row r="44" spans="1:9" x14ac:dyDescent="0.2">
      <c r="A44" t="s">
        <v>13</v>
      </c>
      <c r="B44" s="11"/>
      <c r="C44" s="11"/>
      <c r="D44" s="11">
        <f>Alimentação45165[[#This Row],[Custo previsto]]-Alimentação45165[[#This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SUBTOTAL(109,Alimentação45165[Diferença])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Presentes46166[[#This Row],[Custo previsto]]-Presentes46166[[#This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Presentes46166[[#This Row],[Custo previsto]]-Presentes46166[[#This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Animais_de_estimação47167[[#This Row],[Custo previsto]]-Animais_de_estimação47167[[#This Row],[Custo Real]]</f>
        <v>0</v>
      </c>
      <c r="F48" t="s">
        <v>70</v>
      </c>
      <c r="G48" s="11"/>
      <c r="H48" s="11"/>
      <c r="I48" s="11">
        <f>Presentes46166[[#This Row],[Custo previsto]]-Presentes46166[[#This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Animais_de_estimação47167[[#This Row],[Custo previsto]]-Animais_de_estimação47167[[#This Row],[Custo Real]]</f>
        <v>0</v>
      </c>
      <c r="F49" t="s">
        <v>14</v>
      </c>
      <c r="G49" s="11"/>
      <c r="H49" s="11"/>
      <c r="I49" s="11">
        <f>SUBTOTAL(109,Presentes46166[Diferença])</f>
        <v>0</v>
      </c>
    </row>
    <row r="50" spans="1:9" x14ac:dyDescent="0.2">
      <c r="A50" t="s">
        <v>32</v>
      </c>
      <c r="B50" s="11"/>
      <c r="C50" s="11"/>
      <c r="D50" s="11">
        <f>Animais_de_estimação47167[[#This Row],[Custo previsto]]-Animais_de_estimação47167[[#This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Animais_de_estimação47167[[#This Row],[Custo previsto]]-Animais_de_estimação47167[[#This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Animais_de_estimação47167[[#This Row],[Custo previsto]]-Animais_de_estimação47167[[#This Row],[Custo Real]]</f>
        <v>0</v>
      </c>
      <c r="F52" t="s">
        <v>72</v>
      </c>
      <c r="G52" s="11"/>
      <c r="H52" s="11"/>
      <c r="I52" s="11">
        <f>Assessoria_jurídica48168[[#This Row],[Custo previsto]]-Assessoria_jurídica48168[[#This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SUBTOTAL(109,Animais_de_estimação47167[Diferença])</f>
        <v>0</v>
      </c>
      <c r="F53" t="s">
        <v>73</v>
      </c>
      <c r="G53" s="11"/>
      <c r="H53" s="11"/>
      <c r="I53" s="11">
        <f>Assessoria_jurídica48168[[#This Row],[Custo previsto]]-Assessoria_jurídica48168[[#This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Assessoria_jurídica48168[[#This Row],[Custo previsto]]-Assessoria_jurídica48168[[#This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Assessoria_jurídica48168[[#This Row],[Custo previsto]]-Assessoria_jurídica48168[[#This Row],[Custo Real]]</f>
        <v>0</v>
      </c>
    </row>
    <row r="56" spans="1:9" x14ac:dyDescent="0.2">
      <c r="A56" t="s">
        <v>31</v>
      </c>
      <c r="B56" s="11"/>
      <c r="C56" s="11"/>
      <c r="D56" s="11">
        <f>CuidadosPessoais49169[[#This Row],[Custo previsto]]-CuidadosPessoais49169[[#This Row],[Custo Real]]</f>
        <v>0</v>
      </c>
      <c r="F56" t="s">
        <v>14</v>
      </c>
      <c r="G56" s="11"/>
      <c r="H56" s="11"/>
      <c r="I56" s="11">
        <f>SUBTOTAL(109,Assessoria_jurídica48168[Diferença])</f>
        <v>0</v>
      </c>
    </row>
    <row r="57" spans="1:9" x14ac:dyDescent="0.2">
      <c r="A57" t="s">
        <v>35</v>
      </c>
      <c r="B57" s="11"/>
      <c r="C57" s="11"/>
      <c r="D57" s="11">
        <f>CuidadosPessoais49169[[#This Row],[Custo previsto]]-CuidadosPessoais49169[[#This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CuidadosPessoais49169[[#This Row],[Custo previsto]]-CuidadosPessoais49169[[#This Row],[Custo Real]]</f>
        <v>0</v>
      </c>
      <c r="F58" s="20" t="s">
        <v>75</v>
      </c>
      <c r="G58" s="20"/>
      <c r="H58" s="20"/>
      <c r="I58" s="19">
        <f>SUBTOTAL(109,Moradia38158[Custo previsto],Transporte41161[Custo previsto],Seguro42162[Custo previsto],Alimentação45165[Custo previsto],Animais_de_estimação47167[Custo previsto],CuidadosPessoais49169[Custo previsto],Entretenimento39159[Custo previsto],Empréstimos40160[Custo previsto],Impostos43163[Custo previsto],Poupança44164[Custo previsto],Presentes46166[Custo previsto],Assessoria_jurídica48168[Custo previsto])</f>
        <v>1195</v>
      </c>
    </row>
    <row r="59" spans="1:9" x14ac:dyDescent="0.2">
      <c r="A59" t="s">
        <v>37</v>
      </c>
      <c r="B59" s="11"/>
      <c r="C59" s="11"/>
      <c r="D59" s="11">
        <f>CuidadosPessoais49169[[#This Row],[Custo previsto]]-CuidadosPessoais49169[[#This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CuidadosPessoais49169[[#This Row],[Custo previsto]]-CuidadosPessoais49169[[#This Row],[Custo Real]]</f>
        <v>0</v>
      </c>
      <c r="F60" s="20" t="s">
        <v>76</v>
      </c>
      <c r="G60" s="20"/>
      <c r="H60" s="20"/>
      <c r="I60" s="19">
        <f>SUBTOTAL(109,Moradia38158[Custo Real],Transporte41161[Custo Real],Seguro42162[Custo Real],Alimentação45165[Custo Real],Animais_de_estimação47167[Custo Real],CuidadosPessoais49169[Custo Real],Entretenimento39159[Custo Real],Empréstimos40160[Custo Real],Impostos43163[Custo Real],Poupança44164[Custo Real],Presentes46166[Custo Real],Assessoria_jurídica48168[Custo Real])</f>
        <v>1236</v>
      </c>
    </row>
    <row r="61" spans="1:9" x14ac:dyDescent="0.2">
      <c r="A61" t="s">
        <v>39</v>
      </c>
      <c r="B61" s="11"/>
      <c r="C61" s="11"/>
      <c r="D61" s="11">
        <f>CuidadosPessoais49169[[#This Row],[Custo previsto]]-CuidadosPessoais49169[[#This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CuidadosPessoais49169[[#This Row],[Custo previsto]]-CuidadosPessoais49169[[#This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SUBTOTAL(109,CuidadosPessoais49169[Diferença])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1" priority="2" operator="lessThan">
      <formula>0</formula>
    </cfRule>
  </conditionalFormatting>
  <conditionalFormatting sqref="I62:I63">
    <cfRule type="cellIs" dxfId="0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I64"/>
  <sheetViews>
    <sheetView showGridLines="0" tabSelected="1" zoomScaleNormal="100" workbookViewId="0">
      <selection activeCell="F15" sqref="F15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84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Moradia[[#This Row],[Custo previsto]]-Moradia[[#This Row],[Custo Real]]</f>
        <v>0</v>
      </c>
      <c r="F12" t="s">
        <v>50</v>
      </c>
      <c r="G12" s="11"/>
      <c r="H12" s="11"/>
      <c r="I12" s="11">
        <f>Entretenimento[[#This Row],[Custo previsto]]-Entretenimento[[#This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Moradia[[#This Row],[Custo previsto]]-Moradia[[#This Row],[Custo Real]]</f>
        <v>-46</v>
      </c>
      <c r="F13" t="s">
        <v>51</v>
      </c>
      <c r="G13" s="11"/>
      <c r="H13" s="11"/>
      <c r="I13" s="11">
        <f>Entretenimento[[#This Row],[Custo previsto]]-Entretenimento[[#This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Moradia[[#This Row],[Custo previsto]]-Moradia[[#This Row],[Custo Real]]</f>
        <v>-12</v>
      </c>
      <c r="F14" t="s">
        <v>52</v>
      </c>
      <c r="G14" s="11"/>
      <c r="H14" s="11"/>
      <c r="I14" s="11">
        <f>Entretenimento[[#This Row],[Custo previsto]]-Entretenimento[[#This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Moradia[[#This Row],[Custo previsto]]-Moradia[[#This Row],[Custo Real]]</f>
        <v>-6</v>
      </c>
      <c r="F15" t="s">
        <v>53</v>
      </c>
      <c r="G15" s="11"/>
      <c r="H15" s="11"/>
      <c r="I15" s="11">
        <f>Entretenimento[[#This Row],[Custo previsto]]-Entretenimento[[#This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Moradia[[#This Row],[Custo previsto]]-Moradia[[#This Row],[Custo Real]]</f>
        <v>0</v>
      </c>
      <c r="F16" t="s">
        <v>54</v>
      </c>
      <c r="G16" s="11"/>
      <c r="H16" s="11"/>
      <c r="I16" s="11">
        <f>Entretenimento[[#This Row],[Custo previsto]]-Entretenimento[[#This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Moradia[[#This Row],[Custo previsto]]-Moradia[[#This Row],[Custo Real]]</f>
        <v>0</v>
      </c>
      <c r="F17" t="s">
        <v>55</v>
      </c>
      <c r="G17" s="11"/>
      <c r="H17" s="11"/>
      <c r="I17" s="11">
        <f>Entretenimento[[#This Row],[Custo previsto]]-Entretenimento[[#This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Moradia[[#This Row],[Custo previsto]]-Moradia[[#This Row],[Custo Real]]</f>
        <v>0</v>
      </c>
      <c r="F18" t="s">
        <v>13</v>
      </c>
      <c r="G18" s="11"/>
      <c r="H18" s="11"/>
      <c r="I18" s="11">
        <f>Entretenimento[[#This Row],[Custo previsto]]-Entretenimento[[#This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Moradia[[#This Row],[Custo previsto]]-Moradia[[#This Row],[Custo Real]]</f>
        <v>23</v>
      </c>
      <c r="F19" t="s">
        <v>13</v>
      </c>
      <c r="G19" s="11"/>
      <c r="H19" s="11"/>
      <c r="I19" s="11">
        <f>Entretenimento[[#This Row],[Custo previsto]]-Entretenimento[[#This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Moradia[[#This Row],[Custo previsto]]-Moradia[[#This Row],[Custo Real]]</f>
        <v>0</v>
      </c>
      <c r="F20" t="s">
        <v>13</v>
      </c>
      <c r="G20" s="11"/>
      <c r="H20" s="11"/>
      <c r="I20" s="11">
        <f>Entretenimento[[#This Row],[Custo previsto]]-Entretenimento[[#This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Moradia[[#This Row],[Custo previsto]]-Moradia[[#This Row],[Custo Real]]</f>
        <v>0</v>
      </c>
      <c r="F21" t="s">
        <v>14</v>
      </c>
      <c r="G21" s="11"/>
      <c r="H21" s="11"/>
      <c r="I21" s="11">
        <f>SUBTOTAL(109,Entretenimento[Diferença])</f>
        <v>0</v>
      </c>
    </row>
    <row r="22" spans="1:9" x14ac:dyDescent="0.2">
      <c r="A22" t="s">
        <v>14</v>
      </c>
      <c r="B22" s="11"/>
      <c r="C22" s="11"/>
      <c r="D22" s="11">
        <f>SUBTOTAL(109,Moradia[Diferença])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Empréstimos[[#This Row],[Custo previsto]]-Empréstimos[[#This Row],[Custo Real]]</f>
        <v>0</v>
      </c>
    </row>
    <row r="25" spans="1:9" x14ac:dyDescent="0.2">
      <c r="A25" t="s">
        <v>16</v>
      </c>
      <c r="B25" s="11"/>
      <c r="C25" s="11"/>
      <c r="D25" s="11">
        <f>Transporte[[#This Row],[Custo previsto]]-Transporte[[#This Row],[Custo Real]]</f>
        <v>0</v>
      </c>
      <c r="F25" t="s">
        <v>58</v>
      </c>
      <c r="G25" s="11"/>
      <c r="H25" s="11"/>
      <c r="I25" s="11">
        <f>Empréstimos[[#This Row],[Custo previsto]]-Empréstimos[[#This Row],[Custo Real]]</f>
        <v>0</v>
      </c>
    </row>
    <row r="26" spans="1:9" x14ac:dyDescent="0.2">
      <c r="A26" t="s">
        <v>17</v>
      </c>
      <c r="B26" s="11"/>
      <c r="C26" s="11"/>
      <c r="D26" s="11">
        <f>Transporte[[#This Row],[Custo previsto]]-Transporte[[#This Row],[Custo Real]]</f>
        <v>0</v>
      </c>
      <c r="F26" t="s">
        <v>59</v>
      </c>
      <c r="G26" s="11"/>
      <c r="H26" s="11"/>
      <c r="I26" s="11">
        <f>Empréstimos[[#This Row],[Custo previsto]]-Empréstimos[[#This Row],[Custo Real]]</f>
        <v>0</v>
      </c>
    </row>
    <row r="27" spans="1:9" x14ac:dyDescent="0.2">
      <c r="A27" t="s">
        <v>18</v>
      </c>
      <c r="B27" s="11"/>
      <c r="C27" s="11"/>
      <c r="D27" s="11">
        <f>Transporte[[#This Row],[Custo previsto]]-Transporte[[#This Row],[Custo Real]]</f>
        <v>0</v>
      </c>
      <c r="F27" t="s">
        <v>59</v>
      </c>
      <c r="G27" s="11"/>
      <c r="H27" s="11"/>
      <c r="I27" s="11">
        <f>Empréstimos[[#This Row],[Custo previsto]]-Empréstimos[[#This Row],[Custo Real]]</f>
        <v>0</v>
      </c>
    </row>
    <row r="28" spans="1:9" x14ac:dyDescent="0.2">
      <c r="A28" t="s">
        <v>19</v>
      </c>
      <c r="B28" s="11"/>
      <c r="C28" s="11"/>
      <c r="D28" s="11">
        <f>Transporte[[#This Row],[Custo previsto]]-Transporte[[#This Row],[Custo Real]]</f>
        <v>0</v>
      </c>
      <c r="F28" t="s">
        <v>59</v>
      </c>
      <c r="G28" s="11"/>
      <c r="H28" s="11"/>
      <c r="I28" s="11">
        <f>Empréstimos[[#This Row],[Custo previsto]]-Empréstimos[[#This Row],[Custo Real]]</f>
        <v>0</v>
      </c>
    </row>
    <row r="29" spans="1:9" x14ac:dyDescent="0.2">
      <c r="A29" t="s">
        <v>20</v>
      </c>
      <c r="B29" s="11"/>
      <c r="C29" s="11"/>
      <c r="D29" s="11">
        <f>Transporte[[#This Row],[Custo previsto]]-Transporte[[#This Row],[Custo Real]]</f>
        <v>0</v>
      </c>
      <c r="F29" t="s">
        <v>13</v>
      </c>
      <c r="G29" s="11"/>
      <c r="H29" s="11"/>
      <c r="I29" s="11">
        <f>Empréstimos[[#This Row],[Custo previsto]]-Empréstimos[[#This Row],[Custo Real]]</f>
        <v>0</v>
      </c>
    </row>
    <row r="30" spans="1:9" x14ac:dyDescent="0.2">
      <c r="A30" t="s">
        <v>21</v>
      </c>
      <c r="B30" s="11"/>
      <c r="C30" s="11"/>
      <c r="D30" s="11">
        <f>Transporte[[#This Row],[Custo previsto]]-Transporte[[#This Row],[Custo Real]]</f>
        <v>0</v>
      </c>
      <c r="F30" t="s">
        <v>14</v>
      </c>
      <c r="G30" s="11"/>
      <c r="H30" s="11"/>
      <c r="I30" s="11">
        <f>SUBTOTAL(109,Empréstimos[Diferença])</f>
        <v>0</v>
      </c>
    </row>
    <row r="31" spans="1:9" x14ac:dyDescent="0.2">
      <c r="A31" t="s">
        <v>13</v>
      </c>
      <c r="B31" s="11"/>
      <c r="C31" s="11"/>
      <c r="D31" s="11">
        <f>Transporte[[#This Row],[Custo previsto]]-Transporte[[#This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Impostos[[#This Row],[Custo previsto]]-Impostos[[#This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Impostos[[#This Row],[Custo previsto]]-Impostos[[#This Row],[Custo Real]]</f>
        <v>0</v>
      </c>
    </row>
    <row r="35" spans="1:9" x14ac:dyDescent="0.2">
      <c r="A35" t="s">
        <v>23</v>
      </c>
      <c r="B35" s="11"/>
      <c r="C35" s="11"/>
      <c r="D35" s="11">
        <f>Seguro[[#This Row],[Custo previsto]]-Seguro[[#This Row],[Custo Real]]</f>
        <v>0</v>
      </c>
      <c r="F35" t="s">
        <v>63</v>
      </c>
      <c r="G35" s="11"/>
      <c r="H35" s="11"/>
      <c r="I35" s="11">
        <f>Impostos[[#This Row],[Custo previsto]]-Impostos[[#This Row],[Custo Real]]</f>
        <v>0</v>
      </c>
    </row>
    <row r="36" spans="1:9" x14ac:dyDescent="0.2">
      <c r="A36" t="s">
        <v>24</v>
      </c>
      <c r="B36" s="11"/>
      <c r="C36" s="11"/>
      <c r="D36" s="11">
        <f>Seguro[[#This Row],[Custo previsto]]-Seguro[[#This Row],[Custo Real]]</f>
        <v>0</v>
      </c>
      <c r="F36" t="s">
        <v>13</v>
      </c>
      <c r="G36" s="11"/>
      <c r="H36" s="11"/>
      <c r="I36" s="11">
        <f>Impostos[[#This Row],[Custo previsto]]-Impostos[[#This Row],[Custo Real]]</f>
        <v>0</v>
      </c>
    </row>
    <row r="37" spans="1:9" x14ac:dyDescent="0.2">
      <c r="A37" t="s">
        <v>25</v>
      </c>
      <c r="B37" s="11"/>
      <c r="C37" s="11"/>
      <c r="D37" s="11">
        <f>Seguro[[#This Row],[Custo previsto]]-Seguro[[#This Row],[Custo Real]]</f>
        <v>0</v>
      </c>
      <c r="F37" t="s">
        <v>14</v>
      </c>
      <c r="G37" s="11"/>
      <c r="H37" s="11"/>
      <c r="I37" s="11">
        <f>SUBTOTAL(109,Impostos[Diferença])</f>
        <v>0</v>
      </c>
    </row>
    <row r="38" spans="1:9" x14ac:dyDescent="0.2">
      <c r="A38" t="s">
        <v>13</v>
      </c>
      <c r="B38" s="11"/>
      <c r="C38" s="11"/>
      <c r="D38" s="11">
        <f>Seguro[[#This Row],[Custo previsto]]-Seguro[[#This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Poupança[[#This Row],[Custo previsto]]-Poupança[[#This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Poupança[[#This Row],[Custo previsto]]-Poupança[[#This Row],[Custo Real]]</f>
        <v>0</v>
      </c>
    </row>
    <row r="42" spans="1:9" x14ac:dyDescent="0.2">
      <c r="A42" t="s">
        <v>27</v>
      </c>
      <c r="B42" s="11"/>
      <c r="C42" s="11"/>
      <c r="D42" s="11">
        <f>Alimentação[[#This Row],[Custo previsto]]-Alimentação[[#This Row],[Custo Real]]</f>
        <v>0</v>
      </c>
      <c r="F42" t="s">
        <v>13</v>
      </c>
      <c r="G42" s="11"/>
      <c r="H42" s="11"/>
      <c r="I42" s="11">
        <f>Poupança[[#This Row],[Custo previsto]]-Poupança[[#This Row],[Custo Real]]</f>
        <v>0</v>
      </c>
    </row>
    <row r="43" spans="1:9" x14ac:dyDescent="0.2">
      <c r="A43" t="s">
        <v>28</v>
      </c>
      <c r="B43" s="11"/>
      <c r="C43" s="11"/>
      <c r="D43" s="11">
        <f>Alimentação[[#This Row],[Custo previsto]]-Alimentação[[#This Row],[Custo Real]]</f>
        <v>0</v>
      </c>
      <c r="F43" t="s">
        <v>14</v>
      </c>
      <c r="G43" s="11"/>
      <c r="H43" s="11"/>
      <c r="I43" s="11">
        <f>SUBTOTAL(109,Poupança[Diferença])</f>
        <v>0</v>
      </c>
    </row>
    <row r="44" spans="1:9" x14ac:dyDescent="0.2">
      <c r="A44" t="s">
        <v>13</v>
      </c>
      <c r="B44" s="11"/>
      <c r="C44" s="11"/>
      <c r="D44" s="11">
        <f>Alimentação[[#This Row],[Custo previsto]]-Alimentação[[#This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Presentes[[#This Row],[Custo previsto]]-Presentes[[#This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Presentes[[#This Row],[Custo previsto]]-Presentes[[#This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Animais_de_estimação[[#This Row],[Custo previsto]]-Animais_de_estimação[[#This Row],[Custo Real]]</f>
        <v>0</v>
      </c>
      <c r="F48" t="s">
        <v>70</v>
      </c>
      <c r="G48" s="11"/>
      <c r="H48" s="11"/>
      <c r="I48" s="11">
        <f>Presentes[[#This Row],[Custo previsto]]-Presentes[[#This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Animais_de_estimação[[#This Row],[Custo previsto]]-Animais_de_estimação[[#This Row],[Custo Real]]</f>
        <v>0</v>
      </c>
      <c r="F49" t="s">
        <v>14</v>
      </c>
      <c r="G49" s="11"/>
      <c r="H49" s="11"/>
      <c r="I49" s="11">
        <f>SUBTOTAL(109,Presentes[Diferença])</f>
        <v>0</v>
      </c>
    </row>
    <row r="50" spans="1:9" x14ac:dyDescent="0.2">
      <c r="A50" t="s">
        <v>32</v>
      </c>
      <c r="B50" s="11"/>
      <c r="C50" s="11"/>
      <c r="D50" s="11">
        <f>Animais_de_estimação[[#This Row],[Custo previsto]]-Animais_de_estimação[[#This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Animais_de_estimação[[#This Row],[Custo previsto]]-Animais_de_estimação[[#This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Animais_de_estimação[[#This Row],[Custo previsto]]-Animais_de_estimação[[#This Row],[Custo Real]]</f>
        <v>0</v>
      </c>
      <c r="F52" t="s">
        <v>72</v>
      </c>
      <c r="G52" s="11"/>
      <c r="H52" s="11"/>
      <c r="I52" s="11">
        <f>Assessoria_jurídica[[#This Row],[Custo previsto]]-Assessoria_jurídica[[#This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SUBTOTAL(109,Animais_de_estimação[Diferença])</f>
        <v>0</v>
      </c>
      <c r="F53" t="s">
        <v>73</v>
      </c>
      <c r="G53" s="11"/>
      <c r="H53" s="11"/>
      <c r="I53" s="11">
        <f>Assessoria_jurídica[[#This Row],[Custo previsto]]-Assessoria_jurídica[[#This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Assessoria_jurídica[[#This Row],[Custo previsto]]-Assessoria_jurídica[[#This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Assessoria_jurídica[[#This Row],[Custo previsto]]-Assessoria_jurídica[[#This Row],[Custo Real]]</f>
        <v>0</v>
      </c>
    </row>
    <row r="56" spans="1:9" x14ac:dyDescent="0.2">
      <c r="A56" t="s">
        <v>31</v>
      </c>
      <c r="B56" s="11"/>
      <c r="C56" s="11"/>
      <c r="D56" s="11">
        <f>CuidadosPessoais[[#This Row],[Custo previsto]]-CuidadosPessoais[[#This Row],[Custo Real]]</f>
        <v>0</v>
      </c>
      <c r="F56" t="s">
        <v>14</v>
      </c>
      <c r="G56" s="11"/>
      <c r="H56" s="11"/>
      <c r="I56" s="11">
        <f>SUBTOTAL(109,Assessoria_jurídica[Diferença])</f>
        <v>0</v>
      </c>
    </row>
    <row r="57" spans="1:9" x14ac:dyDescent="0.2">
      <c r="A57" t="s">
        <v>35</v>
      </c>
      <c r="B57" s="11"/>
      <c r="C57" s="11"/>
      <c r="D57" s="11">
        <f>CuidadosPessoais[[#This Row],[Custo previsto]]-CuidadosPessoais[[#This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CuidadosPessoais[[#This Row],[Custo previsto]]-CuidadosPessoais[[#This Row],[Custo Real]]</f>
        <v>0</v>
      </c>
      <c r="F58" s="20" t="s">
        <v>75</v>
      </c>
      <c r="G58" s="20"/>
      <c r="H58" s="20"/>
      <c r="I58" s="19">
        <f>SUBTOTAL(109,Moradia[Custo previsto],Transporte[Custo previsto],Seguro[Custo previsto],Alimentação[Custo previsto],Animais_de_estimação[Custo previsto],CuidadosPessoais[Custo previsto],Entretenimento[Custo previsto],Empréstimos[Custo previsto],Impostos[Custo previsto],Poupança[Custo previsto],Presentes[Custo previsto],Assessoria_jurídica[Custo previsto])</f>
        <v>1195</v>
      </c>
    </row>
    <row r="59" spans="1:9" x14ac:dyDescent="0.2">
      <c r="A59" t="s">
        <v>37</v>
      </c>
      <c r="B59" s="11"/>
      <c r="C59" s="11"/>
      <c r="D59" s="11">
        <f>CuidadosPessoais[[#This Row],[Custo previsto]]-CuidadosPessoais[[#This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CuidadosPessoais[[#This Row],[Custo previsto]]-CuidadosPessoais[[#This Row],[Custo Real]]</f>
        <v>0</v>
      </c>
      <c r="F60" s="20" t="s">
        <v>76</v>
      </c>
      <c r="G60" s="20"/>
      <c r="H60" s="20"/>
      <c r="I60" s="19">
        <f>SUBTOTAL(109,Moradia[Custo Real],Transporte[Custo Real],Seguro[Custo Real],Alimentação[Custo Real],Animais_de_estimação[Custo Real],CuidadosPessoais[Custo Real],Entretenimento[Custo Real],Empréstimos[Custo Real],Impostos[Custo Real],Poupança[Custo Real],Presentes[Custo Real],Assessoria_jurídica[Custo Real])</f>
        <v>1236</v>
      </c>
    </row>
    <row r="61" spans="1:9" x14ac:dyDescent="0.2">
      <c r="A61" t="s">
        <v>39</v>
      </c>
      <c r="B61" s="11"/>
      <c r="C61" s="11"/>
      <c r="D61" s="11">
        <f>CuidadosPessoais[[#This Row],[Custo previsto]]-CuidadosPessoais[[#This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CuidadosPessoais[[#This Row],[Custo previsto]]-CuidadosPessoais[[#This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A1:I1"/>
    <mergeCell ref="F62:H63"/>
    <mergeCell ref="I62:I63"/>
    <mergeCell ref="I58:I59"/>
    <mergeCell ref="I60:I61"/>
    <mergeCell ref="F60:H61"/>
    <mergeCell ref="I7:I8"/>
    <mergeCell ref="I5:I6"/>
    <mergeCell ref="I3:I4"/>
    <mergeCell ref="F58:H59"/>
    <mergeCell ref="B3:C3"/>
    <mergeCell ref="A7:A9"/>
    <mergeCell ref="A3:A5"/>
    <mergeCell ref="F7:H8"/>
    <mergeCell ref="F5:H6"/>
    <mergeCell ref="F3:H4"/>
    <mergeCell ref="B9:C9"/>
    <mergeCell ref="B8:C8"/>
    <mergeCell ref="B7:C7"/>
    <mergeCell ref="B5:C5"/>
    <mergeCell ref="B4:C4"/>
  </mergeCells>
  <conditionalFormatting sqref="I7:I8">
    <cfRule type="cellIs" dxfId="27" priority="2" operator="lessThan">
      <formula>0</formula>
    </cfRule>
  </conditionalFormatting>
  <conditionalFormatting sqref="I62:I63">
    <cfRule type="cellIs" dxfId="26" priority="1" operator="lessThan">
      <formula>0</formula>
    </cfRule>
  </conditionalFormatting>
  <printOptions horizontalCentered="1"/>
  <pageMargins left="0.4" right="0.4" top="0.4" bottom="0.4" header="0.3" footer="0.3"/>
  <pageSetup paperSize="9" scale="62" fitToHeight="0" orientation="portrait" r:id="rId1"/>
  <headerFooter differentFirst="1">
    <oddFooter>Page &amp;P of &amp;N</oddFooter>
  </headerFooter>
  <ignoredErrors>
    <ignoredError sqref="I12:I20 D25:D31 I24:I29 I33:I36 D35:D38 D42:D44 I40:I42 I46:I48 I59 D56:D62 I61" emptyCellReference="1"/>
    <ignoredError sqref="I3:I6" evalError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B22A-82C1-44B8-AAE7-DEC52A11F22C}">
  <dimension ref="A1:I64"/>
  <sheetViews>
    <sheetView workbookViewId="0">
      <selection activeCell="L9" sqref="L9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Moradia14[[#This Row],[Custo previsto]]-Moradia14[[#This Row],[Custo Real]]</f>
        <v>0</v>
      </c>
      <c r="F12" t="s">
        <v>50</v>
      </c>
      <c r="G12" s="11"/>
      <c r="H12" s="11"/>
      <c r="I12" s="11">
        <f>Entretenimento15[[#This Row],[Custo previsto]]-Entretenimento15[[#This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Moradia14[[#This Row],[Custo previsto]]-Moradia14[[#This Row],[Custo Real]]</f>
        <v>-46</v>
      </c>
      <c r="F13" t="s">
        <v>51</v>
      </c>
      <c r="G13" s="11"/>
      <c r="H13" s="11"/>
      <c r="I13" s="11">
        <f>Entretenimento15[[#This Row],[Custo previsto]]-Entretenimento15[[#This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Moradia14[[#This Row],[Custo previsto]]-Moradia14[[#This Row],[Custo Real]]</f>
        <v>-12</v>
      </c>
      <c r="F14" t="s">
        <v>52</v>
      </c>
      <c r="G14" s="11"/>
      <c r="H14" s="11"/>
      <c r="I14" s="11">
        <f>Entretenimento15[[#This Row],[Custo previsto]]-Entretenimento15[[#This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Moradia14[[#This Row],[Custo previsto]]-Moradia14[[#This Row],[Custo Real]]</f>
        <v>-6</v>
      </c>
      <c r="F15" t="s">
        <v>53</v>
      </c>
      <c r="G15" s="11"/>
      <c r="H15" s="11"/>
      <c r="I15" s="11">
        <f>Entretenimento15[[#This Row],[Custo previsto]]-Entretenimento15[[#This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Moradia14[[#This Row],[Custo previsto]]-Moradia14[[#This Row],[Custo Real]]</f>
        <v>0</v>
      </c>
      <c r="F16" t="s">
        <v>54</v>
      </c>
      <c r="G16" s="11"/>
      <c r="H16" s="11"/>
      <c r="I16" s="11">
        <f>Entretenimento15[[#This Row],[Custo previsto]]-Entretenimento15[[#This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Moradia14[[#This Row],[Custo previsto]]-Moradia14[[#This Row],[Custo Real]]</f>
        <v>0</v>
      </c>
      <c r="F17" t="s">
        <v>55</v>
      </c>
      <c r="G17" s="11"/>
      <c r="H17" s="11"/>
      <c r="I17" s="11">
        <f>Entretenimento15[[#This Row],[Custo previsto]]-Entretenimento15[[#This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Moradia14[[#This Row],[Custo previsto]]-Moradia14[[#This Row],[Custo Real]]</f>
        <v>0</v>
      </c>
      <c r="F18" t="s">
        <v>13</v>
      </c>
      <c r="G18" s="11"/>
      <c r="H18" s="11"/>
      <c r="I18" s="11">
        <f>Entretenimento15[[#This Row],[Custo previsto]]-Entretenimento15[[#This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Moradia14[[#This Row],[Custo previsto]]-Moradia14[[#This Row],[Custo Real]]</f>
        <v>23</v>
      </c>
      <c r="F19" t="s">
        <v>13</v>
      </c>
      <c r="G19" s="11"/>
      <c r="H19" s="11"/>
      <c r="I19" s="11">
        <f>Entretenimento15[[#This Row],[Custo previsto]]-Entretenimento15[[#This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Moradia14[[#This Row],[Custo previsto]]-Moradia14[[#This Row],[Custo Real]]</f>
        <v>0</v>
      </c>
      <c r="F20" t="s">
        <v>13</v>
      </c>
      <c r="G20" s="11"/>
      <c r="H20" s="11"/>
      <c r="I20" s="11">
        <f>Entretenimento15[[#This Row],[Custo previsto]]-Entretenimento15[[#This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Moradia14[[#This Row],[Custo previsto]]-Moradia14[[#This Row],[Custo Real]]</f>
        <v>0</v>
      </c>
      <c r="F21" t="s">
        <v>14</v>
      </c>
      <c r="G21" s="11"/>
      <c r="H21" s="11"/>
      <c r="I21" s="11">
        <f>SUBTOTAL(109,Entretenimento15[Diferença])</f>
        <v>0</v>
      </c>
    </row>
    <row r="22" spans="1:9" x14ac:dyDescent="0.2">
      <c r="A22" t="s">
        <v>14</v>
      </c>
      <c r="B22" s="11"/>
      <c r="C22" s="11"/>
      <c r="D22" s="11">
        <f>SUBTOTAL(109,Moradia14[Diferença])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Empréstimos16[[#This Row],[Custo previsto]]-Empréstimos16[[#This Row],[Custo Real]]</f>
        <v>0</v>
      </c>
    </row>
    <row r="25" spans="1:9" x14ac:dyDescent="0.2">
      <c r="A25" t="s">
        <v>16</v>
      </c>
      <c r="B25" s="11"/>
      <c r="C25" s="11"/>
      <c r="D25" s="11">
        <f>Transporte17[[#This Row],[Custo previsto]]-Transporte17[[#This Row],[Custo Real]]</f>
        <v>0</v>
      </c>
      <c r="F25" t="s">
        <v>58</v>
      </c>
      <c r="G25" s="11"/>
      <c r="H25" s="11"/>
      <c r="I25" s="11">
        <f>Empréstimos16[[#This Row],[Custo previsto]]-Empréstimos16[[#This Row],[Custo Real]]</f>
        <v>0</v>
      </c>
    </row>
    <row r="26" spans="1:9" x14ac:dyDescent="0.2">
      <c r="A26" t="s">
        <v>17</v>
      </c>
      <c r="B26" s="11"/>
      <c r="C26" s="11"/>
      <c r="D26" s="11">
        <f>Transporte17[[#This Row],[Custo previsto]]-Transporte17[[#This Row],[Custo Real]]</f>
        <v>0</v>
      </c>
      <c r="F26" t="s">
        <v>59</v>
      </c>
      <c r="G26" s="11"/>
      <c r="H26" s="11"/>
      <c r="I26" s="11">
        <f>Empréstimos16[[#This Row],[Custo previsto]]-Empréstimos16[[#This Row],[Custo Real]]</f>
        <v>0</v>
      </c>
    </row>
    <row r="27" spans="1:9" x14ac:dyDescent="0.2">
      <c r="A27" t="s">
        <v>18</v>
      </c>
      <c r="B27" s="11"/>
      <c r="C27" s="11"/>
      <c r="D27" s="11">
        <f>Transporte17[[#This Row],[Custo previsto]]-Transporte17[[#This Row],[Custo Real]]</f>
        <v>0</v>
      </c>
      <c r="F27" t="s">
        <v>59</v>
      </c>
      <c r="G27" s="11"/>
      <c r="H27" s="11"/>
      <c r="I27" s="11">
        <f>Empréstimos16[[#This Row],[Custo previsto]]-Empréstimos16[[#This Row],[Custo Real]]</f>
        <v>0</v>
      </c>
    </row>
    <row r="28" spans="1:9" x14ac:dyDescent="0.2">
      <c r="A28" t="s">
        <v>19</v>
      </c>
      <c r="B28" s="11"/>
      <c r="C28" s="11"/>
      <c r="D28" s="11">
        <f>Transporte17[[#This Row],[Custo previsto]]-Transporte17[[#This Row],[Custo Real]]</f>
        <v>0</v>
      </c>
      <c r="F28" t="s">
        <v>59</v>
      </c>
      <c r="G28" s="11"/>
      <c r="H28" s="11"/>
      <c r="I28" s="11">
        <f>Empréstimos16[[#This Row],[Custo previsto]]-Empréstimos16[[#This Row],[Custo Real]]</f>
        <v>0</v>
      </c>
    </row>
    <row r="29" spans="1:9" x14ac:dyDescent="0.2">
      <c r="A29" t="s">
        <v>20</v>
      </c>
      <c r="B29" s="11"/>
      <c r="C29" s="11"/>
      <c r="D29" s="11">
        <f>Transporte17[[#This Row],[Custo previsto]]-Transporte17[[#This Row],[Custo Real]]</f>
        <v>0</v>
      </c>
      <c r="F29" t="s">
        <v>13</v>
      </c>
      <c r="G29" s="11"/>
      <c r="H29" s="11"/>
      <c r="I29" s="11">
        <f>Empréstimos16[[#This Row],[Custo previsto]]-Empréstimos16[[#This Row],[Custo Real]]</f>
        <v>0</v>
      </c>
    </row>
    <row r="30" spans="1:9" x14ac:dyDescent="0.2">
      <c r="A30" t="s">
        <v>21</v>
      </c>
      <c r="B30" s="11"/>
      <c r="C30" s="11"/>
      <c r="D30" s="11">
        <f>Transporte17[[#This Row],[Custo previsto]]-Transporte17[[#This Row],[Custo Real]]</f>
        <v>0</v>
      </c>
      <c r="F30" t="s">
        <v>14</v>
      </c>
      <c r="G30" s="11"/>
      <c r="H30" s="11"/>
      <c r="I30" s="11">
        <f>SUBTOTAL(109,Empréstimos16[Diferença])</f>
        <v>0</v>
      </c>
    </row>
    <row r="31" spans="1:9" x14ac:dyDescent="0.2">
      <c r="A31" t="s">
        <v>13</v>
      </c>
      <c r="B31" s="11"/>
      <c r="C31" s="11"/>
      <c r="D31" s="11">
        <f>Transporte17[[#This Row],[Custo previsto]]-Transporte17[[#This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SUBTOTAL(109,Transporte17[Diferença])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Impostos19[[#This Row],[Custo previsto]]-Impostos19[[#This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Impostos19[[#This Row],[Custo previsto]]-Impostos19[[#This Row],[Custo Real]]</f>
        <v>0</v>
      </c>
    </row>
    <row r="35" spans="1:9" x14ac:dyDescent="0.2">
      <c r="A35" t="s">
        <v>23</v>
      </c>
      <c r="B35" s="11"/>
      <c r="C35" s="11"/>
      <c r="D35" s="11">
        <f>Seguro18[[#This Row],[Custo previsto]]-Seguro18[[#This Row],[Custo Real]]</f>
        <v>0</v>
      </c>
      <c r="F35" t="s">
        <v>63</v>
      </c>
      <c r="G35" s="11"/>
      <c r="H35" s="11"/>
      <c r="I35" s="11">
        <f>Impostos19[[#This Row],[Custo previsto]]-Impostos19[[#This Row],[Custo Real]]</f>
        <v>0</v>
      </c>
    </row>
    <row r="36" spans="1:9" x14ac:dyDescent="0.2">
      <c r="A36" t="s">
        <v>24</v>
      </c>
      <c r="B36" s="11"/>
      <c r="C36" s="11"/>
      <c r="D36" s="11">
        <f>Seguro18[[#This Row],[Custo previsto]]-Seguro18[[#This Row],[Custo Real]]</f>
        <v>0</v>
      </c>
      <c r="F36" t="s">
        <v>13</v>
      </c>
      <c r="G36" s="11"/>
      <c r="H36" s="11"/>
      <c r="I36" s="11">
        <f>Impostos19[[#This Row],[Custo previsto]]-Impostos19[[#This Row],[Custo Real]]</f>
        <v>0</v>
      </c>
    </row>
    <row r="37" spans="1:9" x14ac:dyDescent="0.2">
      <c r="A37" t="s">
        <v>25</v>
      </c>
      <c r="B37" s="11"/>
      <c r="C37" s="11"/>
      <c r="D37" s="11">
        <f>Seguro18[[#This Row],[Custo previsto]]-Seguro18[[#This Row],[Custo Real]]</f>
        <v>0</v>
      </c>
      <c r="F37" t="s">
        <v>14</v>
      </c>
      <c r="G37" s="11"/>
      <c r="H37" s="11"/>
      <c r="I37" s="11">
        <f>SUBTOTAL(109,Impostos19[Diferença])</f>
        <v>0</v>
      </c>
    </row>
    <row r="38" spans="1:9" x14ac:dyDescent="0.2">
      <c r="A38" t="s">
        <v>13</v>
      </c>
      <c r="B38" s="11"/>
      <c r="C38" s="11"/>
      <c r="D38" s="11">
        <f>Seguro18[[#This Row],[Custo previsto]]-Seguro18[[#This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SUBTOTAL(109,Seguro18[Diferença])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Poupança20[[#This Row],[Custo previsto]]-Poupança20[[#This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Poupança20[[#This Row],[Custo previsto]]-Poupança20[[#This Row],[Custo Real]]</f>
        <v>0</v>
      </c>
    </row>
    <row r="42" spans="1:9" x14ac:dyDescent="0.2">
      <c r="A42" t="s">
        <v>27</v>
      </c>
      <c r="B42" s="11"/>
      <c r="C42" s="11"/>
      <c r="D42" s="11">
        <f>Alimentação21[[#This Row],[Custo previsto]]-Alimentação21[[#This Row],[Custo Real]]</f>
        <v>0</v>
      </c>
      <c r="F42" t="s">
        <v>13</v>
      </c>
      <c r="G42" s="11"/>
      <c r="H42" s="11"/>
      <c r="I42" s="11">
        <f>Poupança20[[#This Row],[Custo previsto]]-Poupança20[[#This Row],[Custo Real]]</f>
        <v>0</v>
      </c>
    </row>
    <row r="43" spans="1:9" x14ac:dyDescent="0.2">
      <c r="A43" t="s">
        <v>28</v>
      </c>
      <c r="B43" s="11"/>
      <c r="C43" s="11"/>
      <c r="D43" s="11">
        <f>Alimentação21[[#This Row],[Custo previsto]]-Alimentação21[[#This Row],[Custo Real]]</f>
        <v>0</v>
      </c>
      <c r="F43" t="s">
        <v>14</v>
      </c>
      <c r="G43" s="11"/>
      <c r="H43" s="11"/>
      <c r="I43" s="11">
        <f>SUBTOTAL(109,Poupança20[Diferença])</f>
        <v>0</v>
      </c>
    </row>
    <row r="44" spans="1:9" x14ac:dyDescent="0.2">
      <c r="A44" t="s">
        <v>13</v>
      </c>
      <c r="B44" s="11"/>
      <c r="C44" s="11"/>
      <c r="D44" s="11">
        <f>Alimentação21[[#This Row],[Custo previsto]]-Alimentação21[[#This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SUBTOTAL(109,Alimentação21[Diferença])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Presentes22[[#This Row],[Custo previsto]]-Presentes22[[#This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Presentes22[[#This Row],[Custo previsto]]-Presentes22[[#This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Animais_de_estimação23[[#This Row],[Custo previsto]]-Animais_de_estimação23[[#This Row],[Custo Real]]</f>
        <v>0</v>
      </c>
      <c r="F48" t="s">
        <v>70</v>
      </c>
      <c r="G48" s="11"/>
      <c r="H48" s="11"/>
      <c r="I48" s="11">
        <f>Presentes22[[#This Row],[Custo previsto]]-Presentes22[[#This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Animais_de_estimação23[[#This Row],[Custo previsto]]-Animais_de_estimação23[[#This Row],[Custo Real]]</f>
        <v>0</v>
      </c>
      <c r="F49" t="s">
        <v>14</v>
      </c>
      <c r="G49" s="11"/>
      <c r="H49" s="11"/>
      <c r="I49" s="11">
        <f>SUBTOTAL(109,Presentes22[Diferença])</f>
        <v>0</v>
      </c>
    </row>
    <row r="50" spans="1:9" x14ac:dyDescent="0.2">
      <c r="A50" t="s">
        <v>32</v>
      </c>
      <c r="B50" s="11"/>
      <c r="C50" s="11"/>
      <c r="D50" s="11">
        <f>Animais_de_estimação23[[#This Row],[Custo previsto]]-Animais_de_estimação23[[#This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Animais_de_estimação23[[#This Row],[Custo previsto]]-Animais_de_estimação23[[#This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Animais_de_estimação23[[#This Row],[Custo previsto]]-Animais_de_estimação23[[#This Row],[Custo Real]]</f>
        <v>0</v>
      </c>
      <c r="F52" t="s">
        <v>72</v>
      </c>
      <c r="G52" s="11"/>
      <c r="H52" s="11"/>
      <c r="I52" s="11">
        <f>Assessoria_jurídica24[[#This Row],[Custo previsto]]-Assessoria_jurídica24[[#This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SUBTOTAL(109,Animais_de_estimação23[Diferença])</f>
        <v>0</v>
      </c>
      <c r="F53" t="s">
        <v>73</v>
      </c>
      <c r="G53" s="11"/>
      <c r="H53" s="11"/>
      <c r="I53" s="11">
        <f>Assessoria_jurídica24[[#This Row],[Custo previsto]]-Assessoria_jurídica24[[#This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Assessoria_jurídica24[[#This Row],[Custo previsto]]-Assessoria_jurídica24[[#This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Assessoria_jurídica24[[#This Row],[Custo previsto]]-Assessoria_jurídica24[[#This Row],[Custo Real]]</f>
        <v>0</v>
      </c>
    </row>
    <row r="56" spans="1:9" x14ac:dyDescent="0.2">
      <c r="A56" t="s">
        <v>31</v>
      </c>
      <c r="B56" s="11"/>
      <c r="C56" s="11"/>
      <c r="D56" s="11">
        <f>CuidadosPessoais25[[#This Row],[Custo previsto]]-CuidadosPessoais25[[#This Row],[Custo Real]]</f>
        <v>0</v>
      </c>
      <c r="F56" t="s">
        <v>14</v>
      </c>
      <c r="G56" s="11"/>
      <c r="H56" s="11"/>
      <c r="I56" s="11">
        <f>SUBTOTAL(109,Assessoria_jurídica24[Diferença])</f>
        <v>0</v>
      </c>
    </row>
    <row r="57" spans="1:9" x14ac:dyDescent="0.2">
      <c r="A57" t="s">
        <v>35</v>
      </c>
      <c r="B57" s="11"/>
      <c r="C57" s="11"/>
      <c r="D57" s="11">
        <f>CuidadosPessoais25[[#This Row],[Custo previsto]]-CuidadosPessoais25[[#This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CuidadosPessoais25[[#This Row],[Custo previsto]]-CuidadosPessoais25[[#This Row],[Custo Real]]</f>
        <v>0</v>
      </c>
      <c r="F58" s="20" t="s">
        <v>75</v>
      </c>
      <c r="G58" s="20"/>
      <c r="H58" s="20"/>
      <c r="I58" s="19">
        <f>SUBTOTAL(109,Moradia14[Custo previsto],Transporte17[Custo previsto],Seguro18[Custo previsto],Alimentação21[Custo previsto],Animais_de_estimação23[Custo previsto],CuidadosPessoais25[Custo previsto],Entretenimento15[Custo previsto],Empréstimos16[Custo previsto],Impostos19[Custo previsto],Poupança20[Custo previsto],Presentes22[Custo previsto],Assessoria_jurídica24[Custo previsto])</f>
        <v>1195</v>
      </c>
    </row>
    <row r="59" spans="1:9" x14ac:dyDescent="0.2">
      <c r="A59" t="s">
        <v>37</v>
      </c>
      <c r="B59" s="11"/>
      <c r="C59" s="11"/>
      <c r="D59" s="11">
        <f>CuidadosPessoais25[[#This Row],[Custo previsto]]-CuidadosPessoais25[[#This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CuidadosPessoais25[[#This Row],[Custo previsto]]-CuidadosPessoais25[[#This Row],[Custo Real]]</f>
        <v>0</v>
      </c>
      <c r="F60" s="20" t="s">
        <v>76</v>
      </c>
      <c r="G60" s="20"/>
      <c r="H60" s="20"/>
      <c r="I60" s="19">
        <f>SUBTOTAL(109,Moradia14[Custo Real],Transporte17[Custo Real],Seguro18[Custo Real],Alimentação21[Custo Real],Animais_de_estimação23[Custo Real],CuidadosPessoais25[Custo Real],Entretenimento15[Custo Real],Empréstimos16[Custo Real],Impostos19[Custo Real],Poupança20[Custo Real],Presentes22[Custo Real],Assessoria_jurídica24[Custo Real])</f>
        <v>1236</v>
      </c>
    </row>
    <row r="61" spans="1:9" x14ac:dyDescent="0.2">
      <c r="A61" t="s">
        <v>39</v>
      </c>
      <c r="B61" s="11"/>
      <c r="C61" s="11"/>
      <c r="D61" s="11">
        <f>CuidadosPessoais25[[#This Row],[Custo previsto]]-CuidadosPessoais25[[#This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CuidadosPessoais25[[#This Row],[Custo previsto]]-CuidadosPessoais25[[#This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SUBTOTAL(109,CuidadosPessoais25[Diferença])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25" priority="2" operator="lessThan">
      <formula>0</formula>
    </cfRule>
  </conditionalFormatting>
  <conditionalFormatting sqref="I62:I63">
    <cfRule type="cellIs" dxfId="24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DA0BE-2E2B-4594-BED7-9BAB43F33347}">
  <dimension ref="A1:I64"/>
  <sheetViews>
    <sheetView workbookViewId="0">
      <selection activeCell="A2" sqref="A1:A1048576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Moradia38[[#This Row],[Custo previsto]]-Moradia38[[#This Row],[Custo Real]]</f>
        <v>0</v>
      </c>
      <c r="F12" t="s">
        <v>50</v>
      </c>
      <c r="G12" s="11"/>
      <c r="H12" s="11"/>
      <c r="I12" s="11">
        <f>Entretenimento39[[#This Row],[Custo previsto]]-Entretenimento39[[#This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Moradia38[[#This Row],[Custo previsto]]-Moradia38[[#This Row],[Custo Real]]</f>
        <v>-46</v>
      </c>
      <c r="F13" t="s">
        <v>51</v>
      </c>
      <c r="G13" s="11"/>
      <c r="H13" s="11"/>
      <c r="I13" s="11">
        <f>Entretenimento39[[#This Row],[Custo previsto]]-Entretenimento39[[#This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Moradia38[[#This Row],[Custo previsto]]-Moradia38[[#This Row],[Custo Real]]</f>
        <v>-12</v>
      </c>
      <c r="F14" t="s">
        <v>52</v>
      </c>
      <c r="G14" s="11"/>
      <c r="H14" s="11"/>
      <c r="I14" s="11">
        <f>Entretenimento39[[#This Row],[Custo previsto]]-Entretenimento39[[#This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Moradia38[[#This Row],[Custo previsto]]-Moradia38[[#This Row],[Custo Real]]</f>
        <v>-6</v>
      </c>
      <c r="F15" t="s">
        <v>53</v>
      </c>
      <c r="G15" s="11"/>
      <c r="H15" s="11"/>
      <c r="I15" s="11">
        <f>Entretenimento39[[#This Row],[Custo previsto]]-Entretenimento39[[#This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Moradia38[[#This Row],[Custo previsto]]-Moradia38[[#This Row],[Custo Real]]</f>
        <v>0</v>
      </c>
      <c r="F16" t="s">
        <v>54</v>
      </c>
      <c r="G16" s="11"/>
      <c r="H16" s="11"/>
      <c r="I16" s="11">
        <f>Entretenimento39[[#This Row],[Custo previsto]]-Entretenimento39[[#This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Moradia38[[#This Row],[Custo previsto]]-Moradia38[[#This Row],[Custo Real]]</f>
        <v>0</v>
      </c>
      <c r="F17" t="s">
        <v>55</v>
      </c>
      <c r="G17" s="11"/>
      <c r="H17" s="11"/>
      <c r="I17" s="11">
        <f>Entretenimento39[[#This Row],[Custo previsto]]-Entretenimento39[[#This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Moradia38[[#This Row],[Custo previsto]]-Moradia38[[#This Row],[Custo Real]]</f>
        <v>0</v>
      </c>
      <c r="F18" t="s">
        <v>13</v>
      </c>
      <c r="G18" s="11"/>
      <c r="H18" s="11"/>
      <c r="I18" s="11">
        <f>Entretenimento39[[#This Row],[Custo previsto]]-Entretenimento39[[#This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Moradia38[[#This Row],[Custo previsto]]-Moradia38[[#This Row],[Custo Real]]</f>
        <v>23</v>
      </c>
      <c r="F19" t="s">
        <v>13</v>
      </c>
      <c r="G19" s="11"/>
      <c r="H19" s="11"/>
      <c r="I19" s="11">
        <f>Entretenimento39[[#This Row],[Custo previsto]]-Entretenimento39[[#This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Moradia38[[#This Row],[Custo previsto]]-Moradia38[[#This Row],[Custo Real]]</f>
        <v>0</v>
      </c>
      <c r="F20" t="s">
        <v>13</v>
      </c>
      <c r="G20" s="11"/>
      <c r="H20" s="11"/>
      <c r="I20" s="11">
        <f>Entretenimento39[[#This Row],[Custo previsto]]-Entretenimento39[[#This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Moradia38[[#This Row],[Custo previsto]]-Moradia38[[#This Row],[Custo Real]]</f>
        <v>0</v>
      </c>
      <c r="F21" t="s">
        <v>14</v>
      </c>
      <c r="G21" s="11"/>
      <c r="H21" s="11"/>
      <c r="I21" s="11">
        <f>SUBTOTAL(109,Entretenimento39[Diferença])</f>
        <v>0</v>
      </c>
    </row>
    <row r="22" spans="1:9" x14ac:dyDescent="0.2">
      <c r="A22" t="s">
        <v>14</v>
      </c>
      <c r="B22" s="11"/>
      <c r="C22" s="11"/>
      <c r="D22" s="11">
        <f>SUBTOTAL(109,Moradia38[Diferença])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Empréstimos40[[#This Row],[Custo previsto]]-Empréstimos40[[#This Row],[Custo Real]]</f>
        <v>0</v>
      </c>
    </row>
    <row r="25" spans="1:9" x14ac:dyDescent="0.2">
      <c r="A25" t="s">
        <v>16</v>
      </c>
      <c r="B25" s="11"/>
      <c r="C25" s="11"/>
      <c r="D25" s="11">
        <f>Transporte41[[#This Row],[Custo previsto]]-Transporte41[[#This Row],[Custo Real]]</f>
        <v>0</v>
      </c>
      <c r="F25" t="s">
        <v>58</v>
      </c>
      <c r="G25" s="11"/>
      <c r="H25" s="11"/>
      <c r="I25" s="11">
        <f>Empréstimos40[[#This Row],[Custo previsto]]-Empréstimos40[[#This Row],[Custo Real]]</f>
        <v>0</v>
      </c>
    </row>
    <row r="26" spans="1:9" x14ac:dyDescent="0.2">
      <c r="A26" t="s">
        <v>17</v>
      </c>
      <c r="B26" s="11"/>
      <c r="C26" s="11"/>
      <c r="D26" s="11">
        <f>Transporte41[[#This Row],[Custo previsto]]-Transporte41[[#This Row],[Custo Real]]</f>
        <v>0</v>
      </c>
      <c r="F26" t="s">
        <v>59</v>
      </c>
      <c r="G26" s="11"/>
      <c r="H26" s="11"/>
      <c r="I26" s="11">
        <f>Empréstimos40[[#This Row],[Custo previsto]]-Empréstimos40[[#This Row],[Custo Real]]</f>
        <v>0</v>
      </c>
    </row>
    <row r="27" spans="1:9" x14ac:dyDescent="0.2">
      <c r="A27" t="s">
        <v>18</v>
      </c>
      <c r="B27" s="11"/>
      <c r="C27" s="11"/>
      <c r="D27" s="11">
        <f>Transporte41[[#This Row],[Custo previsto]]-Transporte41[[#This Row],[Custo Real]]</f>
        <v>0</v>
      </c>
      <c r="F27" t="s">
        <v>59</v>
      </c>
      <c r="G27" s="11"/>
      <c r="H27" s="11"/>
      <c r="I27" s="11">
        <f>Empréstimos40[[#This Row],[Custo previsto]]-Empréstimos40[[#This Row],[Custo Real]]</f>
        <v>0</v>
      </c>
    </row>
    <row r="28" spans="1:9" x14ac:dyDescent="0.2">
      <c r="A28" t="s">
        <v>19</v>
      </c>
      <c r="B28" s="11"/>
      <c r="C28" s="11"/>
      <c r="D28" s="11">
        <f>Transporte41[[#This Row],[Custo previsto]]-Transporte41[[#This Row],[Custo Real]]</f>
        <v>0</v>
      </c>
      <c r="F28" t="s">
        <v>59</v>
      </c>
      <c r="G28" s="11"/>
      <c r="H28" s="11"/>
      <c r="I28" s="11">
        <f>Empréstimos40[[#This Row],[Custo previsto]]-Empréstimos40[[#This Row],[Custo Real]]</f>
        <v>0</v>
      </c>
    </row>
    <row r="29" spans="1:9" x14ac:dyDescent="0.2">
      <c r="A29" t="s">
        <v>20</v>
      </c>
      <c r="B29" s="11"/>
      <c r="C29" s="11"/>
      <c r="D29" s="11">
        <f>Transporte41[[#This Row],[Custo previsto]]-Transporte41[[#This Row],[Custo Real]]</f>
        <v>0</v>
      </c>
      <c r="F29" t="s">
        <v>13</v>
      </c>
      <c r="G29" s="11"/>
      <c r="H29" s="11"/>
      <c r="I29" s="11">
        <f>Empréstimos40[[#This Row],[Custo previsto]]-Empréstimos40[[#This Row],[Custo Real]]</f>
        <v>0</v>
      </c>
    </row>
    <row r="30" spans="1:9" x14ac:dyDescent="0.2">
      <c r="A30" t="s">
        <v>21</v>
      </c>
      <c r="B30" s="11"/>
      <c r="C30" s="11"/>
      <c r="D30" s="11">
        <f>Transporte41[[#This Row],[Custo previsto]]-Transporte41[[#This Row],[Custo Real]]</f>
        <v>0</v>
      </c>
      <c r="F30" t="s">
        <v>14</v>
      </c>
      <c r="G30" s="11"/>
      <c r="H30" s="11"/>
      <c r="I30" s="11">
        <f>SUBTOTAL(109,Empréstimos40[Diferença])</f>
        <v>0</v>
      </c>
    </row>
    <row r="31" spans="1:9" x14ac:dyDescent="0.2">
      <c r="A31" t="s">
        <v>13</v>
      </c>
      <c r="B31" s="11"/>
      <c r="C31" s="11"/>
      <c r="D31" s="11">
        <f>Transporte41[[#This Row],[Custo previsto]]-Transporte41[[#This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SUBTOTAL(109,Transporte41[Diferença])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Impostos43[[#This Row],[Custo previsto]]-Impostos43[[#This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Impostos43[[#This Row],[Custo previsto]]-Impostos43[[#This Row],[Custo Real]]</f>
        <v>0</v>
      </c>
    </row>
    <row r="35" spans="1:9" x14ac:dyDescent="0.2">
      <c r="A35" t="s">
        <v>23</v>
      </c>
      <c r="B35" s="11"/>
      <c r="C35" s="11"/>
      <c r="D35" s="11">
        <f>Seguro42[[#This Row],[Custo previsto]]-Seguro42[[#This Row],[Custo Real]]</f>
        <v>0</v>
      </c>
      <c r="F35" t="s">
        <v>63</v>
      </c>
      <c r="G35" s="11"/>
      <c r="H35" s="11"/>
      <c r="I35" s="11">
        <f>Impostos43[[#This Row],[Custo previsto]]-Impostos43[[#This Row],[Custo Real]]</f>
        <v>0</v>
      </c>
    </row>
    <row r="36" spans="1:9" x14ac:dyDescent="0.2">
      <c r="A36" t="s">
        <v>24</v>
      </c>
      <c r="B36" s="11"/>
      <c r="C36" s="11"/>
      <c r="D36" s="11">
        <f>Seguro42[[#This Row],[Custo previsto]]-Seguro42[[#This Row],[Custo Real]]</f>
        <v>0</v>
      </c>
      <c r="F36" t="s">
        <v>13</v>
      </c>
      <c r="G36" s="11"/>
      <c r="H36" s="11"/>
      <c r="I36" s="11">
        <f>Impostos43[[#This Row],[Custo previsto]]-Impostos43[[#This Row],[Custo Real]]</f>
        <v>0</v>
      </c>
    </row>
    <row r="37" spans="1:9" x14ac:dyDescent="0.2">
      <c r="A37" t="s">
        <v>25</v>
      </c>
      <c r="B37" s="11"/>
      <c r="C37" s="11"/>
      <c r="D37" s="11">
        <f>Seguro42[[#This Row],[Custo previsto]]-Seguro42[[#This Row],[Custo Real]]</f>
        <v>0</v>
      </c>
      <c r="F37" t="s">
        <v>14</v>
      </c>
      <c r="G37" s="11"/>
      <c r="H37" s="11"/>
      <c r="I37" s="11">
        <f>SUBTOTAL(109,Impostos43[Diferença])</f>
        <v>0</v>
      </c>
    </row>
    <row r="38" spans="1:9" x14ac:dyDescent="0.2">
      <c r="A38" t="s">
        <v>13</v>
      </c>
      <c r="B38" s="11"/>
      <c r="C38" s="11"/>
      <c r="D38" s="11">
        <f>Seguro42[[#This Row],[Custo previsto]]-Seguro42[[#This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SUBTOTAL(109,Seguro42[Diferença])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Poupança44[[#This Row],[Custo previsto]]-Poupança44[[#This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Poupança44[[#This Row],[Custo previsto]]-Poupança44[[#This Row],[Custo Real]]</f>
        <v>0</v>
      </c>
    </row>
    <row r="42" spans="1:9" x14ac:dyDescent="0.2">
      <c r="A42" t="s">
        <v>27</v>
      </c>
      <c r="B42" s="11"/>
      <c r="C42" s="11"/>
      <c r="D42" s="11">
        <f>Alimentação45[[#This Row],[Custo previsto]]-Alimentação45[[#This Row],[Custo Real]]</f>
        <v>0</v>
      </c>
      <c r="F42" t="s">
        <v>13</v>
      </c>
      <c r="G42" s="11"/>
      <c r="H42" s="11"/>
      <c r="I42" s="11">
        <f>Poupança44[[#This Row],[Custo previsto]]-Poupança44[[#This Row],[Custo Real]]</f>
        <v>0</v>
      </c>
    </row>
    <row r="43" spans="1:9" x14ac:dyDescent="0.2">
      <c r="A43" t="s">
        <v>28</v>
      </c>
      <c r="B43" s="11"/>
      <c r="C43" s="11"/>
      <c r="D43" s="11">
        <f>Alimentação45[[#This Row],[Custo previsto]]-Alimentação45[[#This Row],[Custo Real]]</f>
        <v>0</v>
      </c>
      <c r="F43" t="s">
        <v>14</v>
      </c>
      <c r="G43" s="11"/>
      <c r="H43" s="11"/>
      <c r="I43" s="11">
        <f>SUBTOTAL(109,Poupança44[Diferença])</f>
        <v>0</v>
      </c>
    </row>
    <row r="44" spans="1:9" x14ac:dyDescent="0.2">
      <c r="A44" t="s">
        <v>13</v>
      </c>
      <c r="B44" s="11"/>
      <c r="C44" s="11"/>
      <c r="D44" s="11">
        <f>Alimentação45[[#This Row],[Custo previsto]]-Alimentação45[[#This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SUBTOTAL(109,Alimentação45[Diferença])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Presentes46[[#This Row],[Custo previsto]]-Presentes46[[#This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Presentes46[[#This Row],[Custo previsto]]-Presentes46[[#This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Animais_de_estimação47[[#This Row],[Custo previsto]]-Animais_de_estimação47[[#This Row],[Custo Real]]</f>
        <v>0</v>
      </c>
      <c r="F48" t="s">
        <v>70</v>
      </c>
      <c r="G48" s="11"/>
      <c r="H48" s="11"/>
      <c r="I48" s="11">
        <f>Presentes46[[#This Row],[Custo previsto]]-Presentes46[[#This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Animais_de_estimação47[[#This Row],[Custo previsto]]-Animais_de_estimação47[[#This Row],[Custo Real]]</f>
        <v>0</v>
      </c>
      <c r="F49" t="s">
        <v>14</v>
      </c>
      <c r="G49" s="11"/>
      <c r="H49" s="11"/>
      <c r="I49" s="11">
        <f>SUBTOTAL(109,Presentes46[Diferença])</f>
        <v>0</v>
      </c>
    </row>
    <row r="50" spans="1:9" x14ac:dyDescent="0.2">
      <c r="A50" t="s">
        <v>32</v>
      </c>
      <c r="B50" s="11"/>
      <c r="C50" s="11"/>
      <c r="D50" s="11">
        <f>Animais_de_estimação47[[#This Row],[Custo previsto]]-Animais_de_estimação47[[#This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Animais_de_estimação47[[#This Row],[Custo previsto]]-Animais_de_estimação47[[#This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Animais_de_estimação47[[#This Row],[Custo previsto]]-Animais_de_estimação47[[#This Row],[Custo Real]]</f>
        <v>0</v>
      </c>
      <c r="F52" t="s">
        <v>72</v>
      </c>
      <c r="G52" s="11"/>
      <c r="H52" s="11"/>
      <c r="I52" s="11">
        <f>Assessoria_jurídica48[[#This Row],[Custo previsto]]-Assessoria_jurídica48[[#This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SUBTOTAL(109,Animais_de_estimação47[Diferença])</f>
        <v>0</v>
      </c>
      <c r="F53" t="s">
        <v>73</v>
      </c>
      <c r="G53" s="11"/>
      <c r="H53" s="11"/>
      <c r="I53" s="11">
        <f>Assessoria_jurídica48[[#This Row],[Custo previsto]]-Assessoria_jurídica48[[#This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Assessoria_jurídica48[[#This Row],[Custo previsto]]-Assessoria_jurídica48[[#This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Assessoria_jurídica48[[#This Row],[Custo previsto]]-Assessoria_jurídica48[[#This Row],[Custo Real]]</f>
        <v>0</v>
      </c>
    </row>
    <row r="56" spans="1:9" x14ac:dyDescent="0.2">
      <c r="A56" t="s">
        <v>31</v>
      </c>
      <c r="B56" s="11"/>
      <c r="C56" s="11"/>
      <c r="D56" s="11">
        <f>CuidadosPessoais49[[#This Row],[Custo previsto]]-CuidadosPessoais49[[#This Row],[Custo Real]]</f>
        <v>0</v>
      </c>
      <c r="F56" t="s">
        <v>14</v>
      </c>
      <c r="G56" s="11"/>
      <c r="H56" s="11"/>
      <c r="I56" s="11">
        <f>SUBTOTAL(109,Assessoria_jurídica48[Diferença])</f>
        <v>0</v>
      </c>
    </row>
    <row r="57" spans="1:9" x14ac:dyDescent="0.2">
      <c r="A57" t="s">
        <v>35</v>
      </c>
      <c r="B57" s="11"/>
      <c r="C57" s="11"/>
      <c r="D57" s="11">
        <f>CuidadosPessoais49[[#This Row],[Custo previsto]]-CuidadosPessoais49[[#This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CuidadosPessoais49[[#This Row],[Custo previsto]]-CuidadosPessoais49[[#This Row],[Custo Real]]</f>
        <v>0</v>
      </c>
      <c r="F58" s="20" t="s">
        <v>75</v>
      </c>
      <c r="G58" s="20"/>
      <c r="H58" s="20"/>
      <c r="I58" s="19">
        <f>SUBTOTAL(109,Moradia38[Custo previsto],Transporte41[Custo previsto],Seguro42[Custo previsto],Alimentação45[Custo previsto],Animais_de_estimação47[Custo previsto],CuidadosPessoais49[Custo previsto],Entretenimento39[Custo previsto],Empréstimos40[Custo previsto],Impostos43[Custo previsto],Poupança44[Custo previsto],Presentes46[Custo previsto],Assessoria_jurídica48[Custo previsto])</f>
        <v>1195</v>
      </c>
    </row>
    <row r="59" spans="1:9" x14ac:dyDescent="0.2">
      <c r="A59" t="s">
        <v>37</v>
      </c>
      <c r="B59" s="11"/>
      <c r="C59" s="11"/>
      <c r="D59" s="11">
        <f>CuidadosPessoais49[[#This Row],[Custo previsto]]-CuidadosPessoais49[[#This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CuidadosPessoais49[[#This Row],[Custo previsto]]-CuidadosPessoais49[[#This Row],[Custo Real]]</f>
        <v>0</v>
      </c>
      <c r="F60" s="20" t="s">
        <v>76</v>
      </c>
      <c r="G60" s="20"/>
      <c r="H60" s="20"/>
      <c r="I60" s="19">
        <f>SUBTOTAL(109,Moradia38[Custo Real],Transporte41[Custo Real],Seguro42[Custo Real],Alimentação45[Custo Real],Animais_de_estimação47[Custo Real],CuidadosPessoais49[Custo Real],Entretenimento39[Custo Real],Empréstimos40[Custo Real],Impostos43[Custo Real],Poupança44[Custo Real],Presentes46[Custo Real],Assessoria_jurídica48[Custo Real])</f>
        <v>1236</v>
      </c>
    </row>
    <row r="61" spans="1:9" x14ac:dyDescent="0.2">
      <c r="A61" t="s">
        <v>39</v>
      </c>
      <c r="B61" s="11"/>
      <c r="C61" s="11"/>
      <c r="D61" s="11">
        <f>CuidadosPessoais49[[#This Row],[Custo previsto]]-CuidadosPessoais49[[#This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CuidadosPessoais49[[#This Row],[Custo previsto]]-CuidadosPessoais49[[#This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SUBTOTAL(109,CuidadosPessoais49[Diferença])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21" priority="2" operator="lessThan">
      <formula>0</formula>
    </cfRule>
  </conditionalFormatting>
  <conditionalFormatting sqref="I62:I63">
    <cfRule type="cellIs" dxfId="20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FCE3D-2BE3-4DE5-AAA8-FC4F13FD36EE}">
  <dimension ref="A1:I64"/>
  <sheetViews>
    <sheetView workbookViewId="0">
      <selection activeCell="A2" sqref="A1:A1048576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Moradia3850[[#This Row],[Custo previsto]]-Moradia3850[[#This Row],[Custo Real]]</f>
        <v>0</v>
      </c>
      <c r="F12" t="s">
        <v>50</v>
      </c>
      <c r="G12" s="11"/>
      <c r="H12" s="11"/>
      <c r="I12" s="11">
        <f>Entretenimento3951[[#This Row],[Custo previsto]]-Entretenimento3951[[#This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Moradia3850[[#This Row],[Custo previsto]]-Moradia3850[[#This Row],[Custo Real]]</f>
        <v>-46</v>
      </c>
      <c r="F13" t="s">
        <v>51</v>
      </c>
      <c r="G13" s="11"/>
      <c r="H13" s="11"/>
      <c r="I13" s="11">
        <f>Entretenimento3951[[#This Row],[Custo previsto]]-Entretenimento3951[[#This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Moradia3850[[#This Row],[Custo previsto]]-Moradia3850[[#This Row],[Custo Real]]</f>
        <v>-12</v>
      </c>
      <c r="F14" t="s">
        <v>52</v>
      </c>
      <c r="G14" s="11"/>
      <c r="H14" s="11"/>
      <c r="I14" s="11">
        <f>Entretenimento3951[[#This Row],[Custo previsto]]-Entretenimento3951[[#This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Moradia3850[[#This Row],[Custo previsto]]-Moradia3850[[#This Row],[Custo Real]]</f>
        <v>-6</v>
      </c>
      <c r="F15" t="s">
        <v>53</v>
      </c>
      <c r="G15" s="11"/>
      <c r="H15" s="11"/>
      <c r="I15" s="11">
        <f>Entretenimento3951[[#This Row],[Custo previsto]]-Entretenimento3951[[#This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Moradia3850[[#This Row],[Custo previsto]]-Moradia3850[[#This Row],[Custo Real]]</f>
        <v>0</v>
      </c>
      <c r="F16" t="s">
        <v>54</v>
      </c>
      <c r="G16" s="11"/>
      <c r="H16" s="11"/>
      <c r="I16" s="11">
        <f>Entretenimento3951[[#This Row],[Custo previsto]]-Entretenimento3951[[#This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Moradia3850[[#This Row],[Custo previsto]]-Moradia3850[[#This Row],[Custo Real]]</f>
        <v>0</v>
      </c>
      <c r="F17" t="s">
        <v>55</v>
      </c>
      <c r="G17" s="11"/>
      <c r="H17" s="11"/>
      <c r="I17" s="11">
        <f>Entretenimento3951[[#This Row],[Custo previsto]]-Entretenimento3951[[#This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Moradia3850[[#This Row],[Custo previsto]]-Moradia3850[[#This Row],[Custo Real]]</f>
        <v>0</v>
      </c>
      <c r="F18" t="s">
        <v>13</v>
      </c>
      <c r="G18" s="11"/>
      <c r="H18" s="11"/>
      <c r="I18" s="11">
        <f>Entretenimento3951[[#This Row],[Custo previsto]]-Entretenimento3951[[#This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Moradia3850[[#This Row],[Custo previsto]]-Moradia3850[[#This Row],[Custo Real]]</f>
        <v>23</v>
      </c>
      <c r="F19" t="s">
        <v>13</v>
      </c>
      <c r="G19" s="11"/>
      <c r="H19" s="11"/>
      <c r="I19" s="11">
        <f>Entretenimento3951[[#This Row],[Custo previsto]]-Entretenimento3951[[#This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Moradia3850[[#This Row],[Custo previsto]]-Moradia3850[[#This Row],[Custo Real]]</f>
        <v>0</v>
      </c>
      <c r="F20" t="s">
        <v>13</v>
      </c>
      <c r="G20" s="11"/>
      <c r="H20" s="11"/>
      <c r="I20" s="11">
        <f>Entretenimento3951[[#This Row],[Custo previsto]]-Entretenimento3951[[#This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Moradia3850[[#This Row],[Custo previsto]]-Moradia3850[[#This Row],[Custo Real]]</f>
        <v>0</v>
      </c>
      <c r="F21" t="s">
        <v>14</v>
      </c>
      <c r="G21" s="11"/>
      <c r="H21" s="11"/>
      <c r="I21" s="11">
        <f>SUBTOTAL(109,Entretenimento3951[Diferença])</f>
        <v>0</v>
      </c>
    </row>
    <row r="22" spans="1:9" x14ac:dyDescent="0.2">
      <c r="A22" t="s">
        <v>14</v>
      </c>
      <c r="B22" s="11"/>
      <c r="C22" s="11"/>
      <c r="D22" s="11">
        <f>SUBTOTAL(109,Moradia3850[Diferença])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Empréstimos4052[[#This Row],[Custo previsto]]-Empréstimos4052[[#This Row],[Custo Real]]</f>
        <v>0</v>
      </c>
    </row>
    <row r="25" spans="1:9" x14ac:dyDescent="0.2">
      <c r="A25" t="s">
        <v>16</v>
      </c>
      <c r="B25" s="11"/>
      <c r="C25" s="11"/>
      <c r="D25" s="11">
        <f>Transporte4153[[#This Row],[Custo previsto]]-Transporte4153[[#This Row],[Custo Real]]</f>
        <v>0</v>
      </c>
      <c r="F25" t="s">
        <v>58</v>
      </c>
      <c r="G25" s="11"/>
      <c r="H25" s="11"/>
      <c r="I25" s="11">
        <f>Empréstimos4052[[#This Row],[Custo previsto]]-Empréstimos4052[[#This Row],[Custo Real]]</f>
        <v>0</v>
      </c>
    </row>
    <row r="26" spans="1:9" x14ac:dyDescent="0.2">
      <c r="A26" t="s">
        <v>17</v>
      </c>
      <c r="B26" s="11"/>
      <c r="C26" s="11"/>
      <c r="D26" s="11">
        <f>Transporte4153[[#This Row],[Custo previsto]]-Transporte4153[[#This Row],[Custo Real]]</f>
        <v>0</v>
      </c>
      <c r="F26" t="s">
        <v>59</v>
      </c>
      <c r="G26" s="11"/>
      <c r="H26" s="11"/>
      <c r="I26" s="11">
        <f>Empréstimos4052[[#This Row],[Custo previsto]]-Empréstimos4052[[#This Row],[Custo Real]]</f>
        <v>0</v>
      </c>
    </row>
    <row r="27" spans="1:9" x14ac:dyDescent="0.2">
      <c r="A27" t="s">
        <v>18</v>
      </c>
      <c r="B27" s="11"/>
      <c r="C27" s="11"/>
      <c r="D27" s="11">
        <f>Transporte4153[[#This Row],[Custo previsto]]-Transporte4153[[#This Row],[Custo Real]]</f>
        <v>0</v>
      </c>
      <c r="F27" t="s">
        <v>59</v>
      </c>
      <c r="G27" s="11"/>
      <c r="H27" s="11"/>
      <c r="I27" s="11">
        <f>Empréstimos4052[[#This Row],[Custo previsto]]-Empréstimos4052[[#This Row],[Custo Real]]</f>
        <v>0</v>
      </c>
    </row>
    <row r="28" spans="1:9" x14ac:dyDescent="0.2">
      <c r="A28" t="s">
        <v>19</v>
      </c>
      <c r="B28" s="11"/>
      <c r="C28" s="11"/>
      <c r="D28" s="11">
        <f>Transporte4153[[#This Row],[Custo previsto]]-Transporte4153[[#This Row],[Custo Real]]</f>
        <v>0</v>
      </c>
      <c r="F28" t="s">
        <v>59</v>
      </c>
      <c r="G28" s="11"/>
      <c r="H28" s="11"/>
      <c r="I28" s="11">
        <f>Empréstimos4052[[#This Row],[Custo previsto]]-Empréstimos4052[[#This Row],[Custo Real]]</f>
        <v>0</v>
      </c>
    </row>
    <row r="29" spans="1:9" x14ac:dyDescent="0.2">
      <c r="A29" t="s">
        <v>20</v>
      </c>
      <c r="B29" s="11"/>
      <c r="C29" s="11"/>
      <c r="D29" s="11">
        <f>Transporte4153[[#This Row],[Custo previsto]]-Transporte4153[[#This Row],[Custo Real]]</f>
        <v>0</v>
      </c>
      <c r="F29" t="s">
        <v>13</v>
      </c>
      <c r="G29" s="11"/>
      <c r="H29" s="11"/>
      <c r="I29" s="11">
        <f>Empréstimos4052[[#This Row],[Custo previsto]]-Empréstimos4052[[#This Row],[Custo Real]]</f>
        <v>0</v>
      </c>
    </row>
    <row r="30" spans="1:9" x14ac:dyDescent="0.2">
      <c r="A30" t="s">
        <v>21</v>
      </c>
      <c r="B30" s="11"/>
      <c r="C30" s="11"/>
      <c r="D30" s="11">
        <f>Transporte4153[[#This Row],[Custo previsto]]-Transporte4153[[#This Row],[Custo Real]]</f>
        <v>0</v>
      </c>
      <c r="F30" t="s">
        <v>14</v>
      </c>
      <c r="G30" s="11"/>
      <c r="H30" s="11"/>
      <c r="I30" s="11">
        <f>SUBTOTAL(109,Empréstimos4052[Diferença])</f>
        <v>0</v>
      </c>
    </row>
    <row r="31" spans="1:9" x14ac:dyDescent="0.2">
      <c r="A31" t="s">
        <v>13</v>
      </c>
      <c r="B31" s="11"/>
      <c r="C31" s="11"/>
      <c r="D31" s="11">
        <f>Transporte4153[[#This Row],[Custo previsto]]-Transporte4153[[#This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SUBTOTAL(109,Transporte4153[Diferença])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Impostos4355[[#This Row],[Custo previsto]]-Impostos4355[[#This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Impostos4355[[#This Row],[Custo previsto]]-Impostos4355[[#This Row],[Custo Real]]</f>
        <v>0</v>
      </c>
    </row>
    <row r="35" spans="1:9" x14ac:dyDescent="0.2">
      <c r="A35" t="s">
        <v>23</v>
      </c>
      <c r="B35" s="11"/>
      <c r="C35" s="11"/>
      <c r="D35" s="11">
        <f>Seguro4254[[#This Row],[Custo previsto]]-Seguro4254[[#This Row],[Custo Real]]</f>
        <v>0</v>
      </c>
      <c r="F35" t="s">
        <v>63</v>
      </c>
      <c r="G35" s="11"/>
      <c r="H35" s="11"/>
      <c r="I35" s="11">
        <f>Impostos4355[[#This Row],[Custo previsto]]-Impostos4355[[#This Row],[Custo Real]]</f>
        <v>0</v>
      </c>
    </row>
    <row r="36" spans="1:9" x14ac:dyDescent="0.2">
      <c r="A36" t="s">
        <v>24</v>
      </c>
      <c r="B36" s="11"/>
      <c r="C36" s="11"/>
      <c r="D36" s="11">
        <f>Seguro4254[[#This Row],[Custo previsto]]-Seguro4254[[#This Row],[Custo Real]]</f>
        <v>0</v>
      </c>
      <c r="F36" t="s">
        <v>13</v>
      </c>
      <c r="G36" s="11"/>
      <c r="H36" s="11"/>
      <c r="I36" s="11">
        <f>Impostos4355[[#This Row],[Custo previsto]]-Impostos4355[[#This Row],[Custo Real]]</f>
        <v>0</v>
      </c>
    </row>
    <row r="37" spans="1:9" x14ac:dyDescent="0.2">
      <c r="A37" t="s">
        <v>25</v>
      </c>
      <c r="B37" s="11"/>
      <c r="C37" s="11"/>
      <c r="D37" s="11">
        <f>Seguro4254[[#This Row],[Custo previsto]]-Seguro4254[[#This Row],[Custo Real]]</f>
        <v>0</v>
      </c>
      <c r="F37" t="s">
        <v>14</v>
      </c>
      <c r="G37" s="11"/>
      <c r="H37" s="11"/>
      <c r="I37" s="11">
        <f>SUBTOTAL(109,Impostos4355[Diferença])</f>
        <v>0</v>
      </c>
    </row>
    <row r="38" spans="1:9" x14ac:dyDescent="0.2">
      <c r="A38" t="s">
        <v>13</v>
      </c>
      <c r="B38" s="11"/>
      <c r="C38" s="11"/>
      <c r="D38" s="11">
        <f>Seguro4254[[#This Row],[Custo previsto]]-Seguro4254[[#This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SUBTOTAL(109,Seguro4254[Diferença])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Poupança4456[[#This Row],[Custo previsto]]-Poupança4456[[#This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Poupança4456[[#This Row],[Custo previsto]]-Poupança4456[[#This Row],[Custo Real]]</f>
        <v>0</v>
      </c>
    </row>
    <row r="42" spans="1:9" x14ac:dyDescent="0.2">
      <c r="A42" t="s">
        <v>27</v>
      </c>
      <c r="B42" s="11"/>
      <c r="C42" s="11"/>
      <c r="D42" s="11">
        <f>Alimentação4557[[#This Row],[Custo previsto]]-Alimentação4557[[#This Row],[Custo Real]]</f>
        <v>0</v>
      </c>
      <c r="F42" t="s">
        <v>13</v>
      </c>
      <c r="G42" s="11"/>
      <c r="H42" s="11"/>
      <c r="I42" s="11">
        <f>Poupança4456[[#This Row],[Custo previsto]]-Poupança4456[[#This Row],[Custo Real]]</f>
        <v>0</v>
      </c>
    </row>
    <row r="43" spans="1:9" x14ac:dyDescent="0.2">
      <c r="A43" t="s">
        <v>28</v>
      </c>
      <c r="B43" s="11"/>
      <c r="C43" s="11"/>
      <c r="D43" s="11">
        <f>Alimentação4557[[#This Row],[Custo previsto]]-Alimentação4557[[#This Row],[Custo Real]]</f>
        <v>0</v>
      </c>
      <c r="F43" t="s">
        <v>14</v>
      </c>
      <c r="G43" s="11"/>
      <c r="H43" s="11"/>
      <c r="I43" s="11">
        <f>SUBTOTAL(109,Poupança4456[Diferença])</f>
        <v>0</v>
      </c>
    </row>
    <row r="44" spans="1:9" x14ac:dyDescent="0.2">
      <c r="A44" t="s">
        <v>13</v>
      </c>
      <c r="B44" s="11"/>
      <c r="C44" s="11"/>
      <c r="D44" s="11">
        <f>Alimentação4557[[#This Row],[Custo previsto]]-Alimentação4557[[#This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SUBTOTAL(109,Alimentação4557[Diferença])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Presentes4658[[#This Row],[Custo previsto]]-Presentes4658[[#This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Presentes4658[[#This Row],[Custo previsto]]-Presentes4658[[#This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Animais_de_estimação4759[[#This Row],[Custo previsto]]-Animais_de_estimação4759[[#This Row],[Custo Real]]</f>
        <v>0</v>
      </c>
      <c r="F48" t="s">
        <v>70</v>
      </c>
      <c r="G48" s="11"/>
      <c r="H48" s="11"/>
      <c r="I48" s="11">
        <f>Presentes4658[[#This Row],[Custo previsto]]-Presentes4658[[#This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Animais_de_estimação4759[[#This Row],[Custo previsto]]-Animais_de_estimação4759[[#This Row],[Custo Real]]</f>
        <v>0</v>
      </c>
      <c r="F49" t="s">
        <v>14</v>
      </c>
      <c r="G49" s="11"/>
      <c r="H49" s="11"/>
      <c r="I49" s="11">
        <f>SUBTOTAL(109,Presentes4658[Diferença])</f>
        <v>0</v>
      </c>
    </row>
    <row r="50" spans="1:9" x14ac:dyDescent="0.2">
      <c r="A50" t="s">
        <v>32</v>
      </c>
      <c r="B50" s="11"/>
      <c r="C50" s="11"/>
      <c r="D50" s="11">
        <f>Animais_de_estimação4759[[#This Row],[Custo previsto]]-Animais_de_estimação4759[[#This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Animais_de_estimação4759[[#This Row],[Custo previsto]]-Animais_de_estimação4759[[#This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Animais_de_estimação4759[[#This Row],[Custo previsto]]-Animais_de_estimação4759[[#This Row],[Custo Real]]</f>
        <v>0</v>
      </c>
      <c r="F52" t="s">
        <v>72</v>
      </c>
      <c r="G52" s="11"/>
      <c r="H52" s="11"/>
      <c r="I52" s="11">
        <f>Assessoria_jurídica4860[[#This Row],[Custo previsto]]-Assessoria_jurídica4860[[#This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SUBTOTAL(109,Animais_de_estimação4759[Diferença])</f>
        <v>0</v>
      </c>
      <c r="F53" t="s">
        <v>73</v>
      </c>
      <c r="G53" s="11"/>
      <c r="H53" s="11"/>
      <c r="I53" s="11">
        <f>Assessoria_jurídica4860[[#This Row],[Custo previsto]]-Assessoria_jurídica4860[[#This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Assessoria_jurídica4860[[#This Row],[Custo previsto]]-Assessoria_jurídica4860[[#This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Assessoria_jurídica4860[[#This Row],[Custo previsto]]-Assessoria_jurídica4860[[#This Row],[Custo Real]]</f>
        <v>0</v>
      </c>
    </row>
    <row r="56" spans="1:9" x14ac:dyDescent="0.2">
      <c r="A56" t="s">
        <v>31</v>
      </c>
      <c r="B56" s="11"/>
      <c r="C56" s="11"/>
      <c r="D56" s="11">
        <f>CuidadosPessoais4961[[#This Row],[Custo previsto]]-CuidadosPessoais4961[[#This Row],[Custo Real]]</f>
        <v>0</v>
      </c>
      <c r="F56" t="s">
        <v>14</v>
      </c>
      <c r="G56" s="11"/>
      <c r="H56" s="11"/>
      <c r="I56" s="11">
        <f>SUBTOTAL(109,Assessoria_jurídica4860[Diferença])</f>
        <v>0</v>
      </c>
    </row>
    <row r="57" spans="1:9" x14ac:dyDescent="0.2">
      <c r="A57" t="s">
        <v>35</v>
      </c>
      <c r="B57" s="11"/>
      <c r="C57" s="11"/>
      <c r="D57" s="11">
        <f>CuidadosPessoais4961[[#This Row],[Custo previsto]]-CuidadosPessoais4961[[#This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CuidadosPessoais4961[[#This Row],[Custo previsto]]-CuidadosPessoais4961[[#This Row],[Custo Real]]</f>
        <v>0</v>
      </c>
      <c r="F58" s="20" t="s">
        <v>75</v>
      </c>
      <c r="G58" s="20"/>
      <c r="H58" s="20"/>
      <c r="I58" s="19">
        <f>SUBTOTAL(109,Moradia3850[Custo previsto],Transporte4153[Custo previsto],Seguro4254[Custo previsto],Alimentação4557[Custo previsto],Animais_de_estimação4759[Custo previsto],CuidadosPessoais4961[Custo previsto],Entretenimento3951[Custo previsto],Empréstimos4052[Custo previsto],Impostos4355[Custo previsto],Poupança4456[Custo previsto],Presentes4658[Custo previsto],Assessoria_jurídica4860[Custo previsto])</f>
        <v>1195</v>
      </c>
    </row>
    <row r="59" spans="1:9" x14ac:dyDescent="0.2">
      <c r="A59" t="s">
        <v>37</v>
      </c>
      <c r="B59" s="11"/>
      <c r="C59" s="11"/>
      <c r="D59" s="11">
        <f>CuidadosPessoais4961[[#This Row],[Custo previsto]]-CuidadosPessoais4961[[#This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CuidadosPessoais4961[[#This Row],[Custo previsto]]-CuidadosPessoais4961[[#This Row],[Custo Real]]</f>
        <v>0</v>
      </c>
      <c r="F60" s="20" t="s">
        <v>76</v>
      </c>
      <c r="G60" s="20"/>
      <c r="H60" s="20"/>
      <c r="I60" s="19">
        <f>SUBTOTAL(109,Moradia3850[Custo Real],Transporte4153[Custo Real],Seguro4254[Custo Real],Alimentação4557[Custo Real],Animais_de_estimação4759[Custo Real],CuidadosPessoais4961[Custo Real],Entretenimento3951[Custo Real],Empréstimos4052[Custo Real],Impostos4355[Custo Real],Poupança4456[Custo Real],Presentes4658[Custo Real],Assessoria_jurídica4860[Custo Real])</f>
        <v>1236</v>
      </c>
    </row>
    <row r="61" spans="1:9" x14ac:dyDescent="0.2">
      <c r="A61" t="s">
        <v>39</v>
      </c>
      <c r="B61" s="11"/>
      <c r="C61" s="11"/>
      <c r="D61" s="11">
        <f>CuidadosPessoais4961[[#This Row],[Custo previsto]]-CuidadosPessoais4961[[#This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CuidadosPessoais4961[[#This Row],[Custo previsto]]-CuidadosPessoais4961[[#This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SUBTOTAL(109,CuidadosPessoais4961[Diferença])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19" priority="2" operator="lessThan">
      <formula>0</formula>
    </cfRule>
  </conditionalFormatting>
  <conditionalFormatting sqref="I62:I63">
    <cfRule type="cellIs" dxfId="18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9B89-ED87-4D2E-A869-65861B4CDA7B}">
  <dimension ref="A1:I64"/>
  <sheetViews>
    <sheetView workbookViewId="0">
      <selection activeCell="A2" sqref="A1:A1048576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Moradia3862[[#This Row],[Custo previsto]]-Moradia3862[[#This Row],[Custo Real]]</f>
        <v>0</v>
      </c>
      <c r="F12" t="s">
        <v>50</v>
      </c>
      <c r="G12" s="11"/>
      <c r="H12" s="11"/>
      <c r="I12" s="11">
        <f>Entretenimento3963[[#This Row],[Custo previsto]]-Entretenimento3963[[#This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Moradia3862[[#This Row],[Custo previsto]]-Moradia3862[[#This Row],[Custo Real]]</f>
        <v>-46</v>
      </c>
      <c r="F13" t="s">
        <v>51</v>
      </c>
      <c r="G13" s="11"/>
      <c r="H13" s="11"/>
      <c r="I13" s="11">
        <f>Entretenimento3963[[#This Row],[Custo previsto]]-Entretenimento3963[[#This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Moradia3862[[#This Row],[Custo previsto]]-Moradia3862[[#This Row],[Custo Real]]</f>
        <v>-12</v>
      </c>
      <c r="F14" t="s">
        <v>52</v>
      </c>
      <c r="G14" s="11"/>
      <c r="H14" s="11"/>
      <c r="I14" s="11">
        <f>Entretenimento3963[[#This Row],[Custo previsto]]-Entretenimento3963[[#This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Moradia3862[[#This Row],[Custo previsto]]-Moradia3862[[#This Row],[Custo Real]]</f>
        <v>-6</v>
      </c>
      <c r="F15" t="s">
        <v>53</v>
      </c>
      <c r="G15" s="11"/>
      <c r="H15" s="11"/>
      <c r="I15" s="11">
        <f>Entretenimento3963[[#This Row],[Custo previsto]]-Entretenimento3963[[#This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Moradia3862[[#This Row],[Custo previsto]]-Moradia3862[[#This Row],[Custo Real]]</f>
        <v>0</v>
      </c>
      <c r="F16" t="s">
        <v>54</v>
      </c>
      <c r="G16" s="11"/>
      <c r="H16" s="11"/>
      <c r="I16" s="11">
        <f>Entretenimento3963[[#This Row],[Custo previsto]]-Entretenimento3963[[#This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Moradia3862[[#This Row],[Custo previsto]]-Moradia3862[[#This Row],[Custo Real]]</f>
        <v>0</v>
      </c>
      <c r="F17" t="s">
        <v>55</v>
      </c>
      <c r="G17" s="11"/>
      <c r="H17" s="11"/>
      <c r="I17" s="11">
        <f>Entretenimento3963[[#This Row],[Custo previsto]]-Entretenimento3963[[#This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Moradia3862[[#This Row],[Custo previsto]]-Moradia3862[[#This Row],[Custo Real]]</f>
        <v>0</v>
      </c>
      <c r="F18" t="s">
        <v>13</v>
      </c>
      <c r="G18" s="11"/>
      <c r="H18" s="11"/>
      <c r="I18" s="11">
        <f>Entretenimento3963[[#This Row],[Custo previsto]]-Entretenimento3963[[#This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Moradia3862[[#This Row],[Custo previsto]]-Moradia3862[[#This Row],[Custo Real]]</f>
        <v>23</v>
      </c>
      <c r="F19" t="s">
        <v>13</v>
      </c>
      <c r="G19" s="11"/>
      <c r="H19" s="11"/>
      <c r="I19" s="11">
        <f>Entretenimento3963[[#This Row],[Custo previsto]]-Entretenimento3963[[#This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Moradia3862[[#This Row],[Custo previsto]]-Moradia3862[[#This Row],[Custo Real]]</f>
        <v>0</v>
      </c>
      <c r="F20" t="s">
        <v>13</v>
      </c>
      <c r="G20" s="11"/>
      <c r="H20" s="11"/>
      <c r="I20" s="11">
        <f>Entretenimento3963[[#This Row],[Custo previsto]]-Entretenimento3963[[#This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Moradia3862[[#This Row],[Custo previsto]]-Moradia3862[[#This Row],[Custo Real]]</f>
        <v>0</v>
      </c>
      <c r="F21" t="s">
        <v>14</v>
      </c>
      <c r="G21" s="11"/>
      <c r="H21" s="11"/>
      <c r="I21" s="11">
        <f>SUBTOTAL(109,Entretenimento3963[Diferença])</f>
        <v>0</v>
      </c>
    </row>
    <row r="22" spans="1:9" x14ac:dyDescent="0.2">
      <c r="A22" t="s">
        <v>14</v>
      </c>
      <c r="B22" s="11"/>
      <c r="C22" s="11"/>
      <c r="D22" s="11">
        <f>SUBTOTAL(109,Moradia3862[Diferença])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Empréstimos4064[[#This Row],[Custo previsto]]-Empréstimos4064[[#This Row],[Custo Real]]</f>
        <v>0</v>
      </c>
    </row>
    <row r="25" spans="1:9" x14ac:dyDescent="0.2">
      <c r="A25" t="s">
        <v>16</v>
      </c>
      <c r="B25" s="11"/>
      <c r="C25" s="11"/>
      <c r="D25" s="11">
        <f>Transporte4165[[#This Row],[Custo previsto]]-Transporte4165[[#This Row],[Custo Real]]</f>
        <v>0</v>
      </c>
      <c r="F25" t="s">
        <v>58</v>
      </c>
      <c r="G25" s="11"/>
      <c r="H25" s="11"/>
      <c r="I25" s="11">
        <f>Empréstimos4064[[#This Row],[Custo previsto]]-Empréstimos4064[[#This Row],[Custo Real]]</f>
        <v>0</v>
      </c>
    </row>
    <row r="26" spans="1:9" x14ac:dyDescent="0.2">
      <c r="A26" t="s">
        <v>17</v>
      </c>
      <c r="B26" s="11"/>
      <c r="C26" s="11"/>
      <c r="D26" s="11">
        <f>Transporte4165[[#This Row],[Custo previsto]]-Transporte4165[[#This Row],[Custo Real]]</f>
        <v>0</v>
      </c>
      <c r="F26" t="s">
        <v>59</v>
      </c>
      <c r="G26" s="11"/>
      <c r="H26" s="11"/>
      <c r="I26" s="11">
        <f>Empréstimos4064[[#This Row],[Custo previsto]]-Empréstimos4064[[#This Row],[Custo Real]]</f>
        <v>0</v>
      </c>
    </row>
    <row r="27" spans="1:9" x14ac:dyDescent="0.2">
      <c r="A27" t="s">
        <v>18</v>
      </c>
      <c r="B27" s="11"/>
      <c r="C27" s="11"/>
      <c r="D27" s="11">
        <f>Transporte4165[[#This Row],[Custo previsto]]-Transporte4165[[#This Row],[Custo Real]]</f>
        <v>0</v>
      </c>
      <c r="F27" t="s">
        <v>59</v>
      </c>
      <c r="G27" s="11"/>
      <c r="H27" s="11"/>
      <c r="I27" s="11">
        <f>Empréstimos4064[[#This Row],[Custo previsto]]-Empréstimos4064[[#This Row],[Custo Real]]</f>
        <v>0</v>
      </c>
    </row>
    <row r="28" spans="1:9" x14ac:dyDescent="0.2">
      <c r="A28" t="s">
        <v>19</v>
      </c>
      <c r="B28" s="11"/>
      <c r="C28" s="11"/>
      <c r="D28" s="11">
        <f>Transporte4165[[#This Row],[Custo previsto]]-Transporte4165[[#This Row],[Custo Real]]</f>
        <v>0</v>
      </c>
      <c r="F28" t="s">
        <v>59</v>
      </c>
      <c r="G28" s="11"/>
      <c r="H28" s="11"/>
      <c r="I28" s="11">
        <f>Empréstimos4064[[#This Row],[Custo previsto]]-Empréstimos4064[[#This Row],[Custo Real]]</f>
        <v>0</v>
      </c>
    </row>
    <row r="29" spans="1:9" x14ac:dyDescent="0.2">
      <c r="A29" t="s">
        <v>20</v>
      </c>
      <c r="B29" s="11"/>
      <c r="C29" s="11"/>
      <c r="D29" s="11">
        <f>Transporte4165[[#This Row],[Custo previsto]]-Transporte4165[[#This Row],[Custo Real]]</f>
        <v>0</v>
      </c>
      <c r="F29" t="s">
        <v>13</v>
      </c>
      <c r="G29" s="11"/>
      <c r="H29" s="11"/>
      <c r="I29" s="11">
        <f>Empréstimos4064[[#This Row],[Custo previsto]]-Empréstimos4064[[#This Row],[Custo Real]]</f>
        <v>0</v>
      </c>
    </row>
    <row r="30" spans="1:9" x14ac:dyDescent="0.2">
      <c r="A30" t="s">
        <v>21</v>
      </c>
      <c r="B30" s="11"/>
      <c r="C30" s="11"/>
      <c r="D30" s="11">
        <f>Transporte4165[[#This Row],[Custo previsto]]-Transporte4165[[#This Row],[Custo Real]]</f>
        <v>0</v>
      </c>
      <c r="F30" t="s">
        <v>14</v>
      </c>
      <c r="G30" s="11"/>
      <c r="H30" s="11"/>
      <c r="I30" s="11">
        <f>SUBTOTAL(109,Empréstimos4064[Diferença])</f>
        <v>0</v>
      </c>
    </row>
    <row r="31" spans="1:9" x14ac:dyDescent="0.2">
      <c r="A31" t="s">
        <v>13</v>
      </c>
      <c r="B31" s="11"/>
      <c r="C31" s="11"/>
      <c r="D31" s="11">
        <f>Transporte4165[[#This Row],[Custo previsto]]-Transporte4165[[#This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SUBTOTAL(109,Transporte4165[Diferença])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Impostos4367[[#This Row],[Custo previsto]]-Impostos4367[[#This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Impostos4367[[#This Row],[Custo previsto]]-Impostos4367[[#This Row],[Custo Real]]</f>
        <v>0</v>
      </c>
    </row>
    <row r="35" spans="1:9" x14ac:dyDescent="0.2">
      <c r="A35" t="s">
        <v>23</v>
      </c>
      <c r="B35" s="11"/>
      <c r="C35" s="11"/>
      <c r="D35" s="11">
        <f>Seguro4266[[#This Row],[Custo previsto]]-Seguro4266[[#This Row],[Custo Real]]</f>
        <v>0</v>
      </c>
      <c r="F35" t="s">
        <v>63</v>
      </c>
      <c r="G35" s="11"/>
      <c r="H35" s="11"/>
      <c r="I35" s="11">
        <f>Impostos4367[[#This Row],[Custo previsto]]-Impostos4367[[#This Row],[Custo Real]]</f>
        <v>0</v>
      </c>
    </row>
    <row r="36" spans="1:9" x14ac:dyDescent="0.2">
      <c r="A36" t="s">
        <v>24</v>
      </c>
      <c r="B36" s="11"/>
      <c r="C36" s="11"/>
      <c r="D36" s="11">
        <f>Seguro4266[[#This Row],[Custo previsto]]-Seguro4266[[#This Row],[Custo Real]]</f>
        <v>0</v>
      </c>
      <c r="F36" t="s">
        <v>13</v>
      </c>
      <c r="G36" s="11"/>
      <c r="H36" s="11"/>
      <c r="I36" s="11">
        <f>Impostos4367[[#This Row],[Custo previsto]]-Impostos4367[[#This Row],[Custo Real]]</f>
        <v>0</v>
      </c>
    </row>
    <row r="37" spans="1:9" x14ac:dyDescent="0.2">
      <c r="A37" t="s">
        <v>25</v>
      </c>
      <c r="B37" s="11"/>
      <c r="C37" s="11"/>
      <c r="D37" s="11">
        <f>Seguro4266[[#This Row],[Custo previsto]]-Seguro4266[[#This Row],[Custo Real]]</f>
        <v>0</v>
      </c>
      <c r="F37" t="s">
        <v>14</v>
      </c>
      <c r="G37" s="11"/>
      <c r="H37" s="11"/>
      <c r="I37" s="11">
        <f>SUBTOTAL(109,Impostos4367[Diferença])</f>
        <v>0</v>
      </c>
    </row>
    <row r="38" spans="1:9" x14ac:dyDescent="0.2">
      <c r="A38" t="s">
        <v>13</v>
      </c>
      <c r="B38" s="11"/>
      <c r="C38" s="11"/>
      <c r="D38" s="11">
        <f>Seguro4266[[#This Row],[Custo previsto]]-Seguro4266[[#This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SUBTOTAL(109,Seguro4266[Diferença])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Poupança4468[[#This Row],[Custo previsto]]-Poupança4468[[#This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Poupança4468[[#This Row],[Custo previsto]]-Poupança4468[[#This Row],[Custo Real]]</f>
        <v>0</v>
      </c>
    </row>
    <row r="42" spans="1:9" x14ac:dyDescent="0.2">
      <c r="A42" t="s">
        <v>27</v>
      </c>
      <c r="B42" s="11"/>
      <c r="C42" s="11"/>
      <c r="D42" s="11">
        <f>Alimentação4569[[#This Row],[Custo previsto]]-Alimentação4569[[#This Row],[Custo Real]]</f>
        <v>0</v>
      </c>
      <c r="F42" t="s">
        <v>13</v>
      </c>
      <c r="G42" s="11"/>
      <c r="H42" s="11"/>
      <c r="I42" s="11">
        <f>Poupança4468[[#This Row],[Custo previsto]]-Poupança4468[[#This Row],[Custo Real]]</f>
        <v>0</v>
      </c>
    </row>
    <row r="43" spans="1:9" x14ac:dyDescent="0.2">
      <c r="A43" t="s">
        <v>28</v>
      </c>
      <c r="B43" s="11"/>
      <c r="C43" s="11"/>
      <c r="D43" s="11">
        <f>Alimentação4569[[#This Row],[Custo previsto]]-Alimentação4569[[#This Row],[Custo Real]]</f>
        <v>0</v>
      </c>
      <c r="F43" t="s">
        <v>14</v>
      </c>
      <c r="G43" s="11"/>
      <c r="H43" s="11"/>
      <c r="I43" s="11">
        <f>SUBTOTAL(109,Poupança4468[Diferença])</f>
        <v>0</v>
      </c>
    </row>
    <row r="44" spans="1:9" x14ac:dyDescent="0.2">
      <c r="A44" t="s">
        <v>13</v>
      </c>
      <c r="B44" s="11"/>
      <c r="C44" s="11"/>
      <c r="D44" s="11">
        <f>Alimentação4569[[#This Row],[Custo previsto]]-Alimentação4569[[#This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SUBTOTAL(109,Alimentação4569[Diferença])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Presentes4670[[#This Row],[Custo previsto]]-Presentes4670[[#This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Presentes4670[[#This Row],[Custo previsto]]-Presentes4670[[#This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Animais_de_estimação4771[[#This Row],[Custo previsto]]-Animais_de_estimação4771[[#This Row],[Custo Real]]</f>
        <v>0</v>
      </c>
      <c r="F48" t="s">
        <v>70</v>
      </c>
      <c r="G48" s="11"/>
      <c r="H48" s="11"/>
      <c r="I48" s="11">
        <f>Presentes4670[[#This Row],[Custo previsto]]-Presentes4670[[#This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Animais_de_estimação4771[[#This Row],[Custo previsto]]-Animais_de_estimação4771[[#This Row],[Custo Real]]</f>
        <v>0</v>
      </c>
      <c r="F49" t="s">
        <v>14</v>
      </c>
      <c r="G49" s="11"/>
      <c r="H49" s="11"/>
      <c r="I49" s="11">
        <f>SUBTOTAL(109,Presentes4670[Diferença])</f>
        <v>0</v>
      </c>
    </row>
    <row r="50" spans="1:9" x14ac:dyDescent="0.2">
      <c r="A50" t="s">
        <v>32</v>
      </c>
      <c r="B50" s="11"/>
      <c r="C50" s="11"/>
      <c r="D50" s="11">
        <f>Animais_de_estimação4771[[#This Row],[Custo previsto]]-Animais_de_estimação4771[[#This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Animais_de_estimação4771[[#This Row],[Custo previsto]]-Animais_de_estimação4771[[#This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Animais_de_estimação4771[[#This Row],[Custo previsto]]-Animais_de_estimação4771[[#This Row],[Custo Real]]</f>
        <v>0</v>
      </c>
      <c r="F52" t="s">
        <v>72</v>
      </c>
      <c r="G52" s="11"/>
      <c r="H52" s="11"/>
      <c r="I52" s="11">
        <f>Assessoria_jurídica4872[[#This Row],[Custo previsto]]-Assessoria_jurídica4872[[#This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SUBTOTAL(109,Animais_de_estimação4771[Diferença])</f>
        <v>0</v>
      </c>
      <c r="F53" t="s">
        <v>73</v>
      </c>
      <c r="G53" s="11"/>
      <c r="H53" s="11"/>
      <c r="I53" s="11">
        <f>Assessoria_jurídica4872[[#This Row],[Custo previsto]]-Assessoria_jurídica4872[[#This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Assessoria_jurídica4872[[#This Row],[Custo previsto]]-Assessoria_jurídica4872[[#This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Assessoria_jurídica4872[[#This Row],[Custo previsto]]-Assessoria_jurídica4872[[#This Row],[Custo Real]]</f>
        <v>0</v>
      </c>
    </row>
    <row r="56" spans="1:9" x14ac:dyDescent="0.2">
      <c r="A56" t="s">
        <v>31</v>
      </c>
      <c r="B56" s="11"/>
      <c r="C56" s="11"/>
      <c r="D56" s="11">
        <f>CuidadosPessoais4973[[#This Row],[Custo previsto]]-CuidadosPessoais4973[[#This Row],[Custo Real]]</f>
        <v>0</v>
      </c>
      <c r="F56" t="s">
        <v>14</v>
      </c>
      <c r="G56" s="11"/>
      <c r="H56" s="11"/>
      <c r="I56" s="11">
        <f>SUBTOTAL(109,Assessoria_jurídica4872[Diferença])</f>
        <v>0</v>
      </c>
    </row>
    <row r="57" spans="1:9" x14ac:dyDescent="0.2">
      <c r="A57" t="s">
        <v>35</v>
      </c>
      <c r="B57" s="11"/>
      <c r="C57" s="11"/>
      <c r="D57" s="11">
        <f>CuidadosPessoais4973[[#This Row],[Custo previsto]]-CuidadosPessoais4973[[#This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CuidadosPessoais4973[[#This Row],[Custo previsto]]-CuidadosPessoais4973[[#This Row],[Custo Real]]</f>
        <v>0</v>
      </c>
      <c r="F58" s="20" t="s">
        <v>75</v>
      </c>
      <c r="G58" s="20"/>
      <c r="H58" s="20"/>
      <c r="I58" s="19">
        <f>SUBTOTAL(109,Moradia3862[Custo previsto],Transporte4165[Custo previsto],Seguro4266[Custo previsto],Alimentação4569[Custo previsto],Animais_de_estimação4771[Custo previsto],CuidadosPessoais4973[Custo previsto],Entretenimento3963[Custo previsto],Empréstimos4064[Custo previsto],Impostos4367[Custo previsto],Poupança4468[Custo previsto],Presentes4670[Custo previsto],Assessoria_jurídica4872[Custo previsto])</f>
        <v>1195</v>
      </c>
    </row>
    <row r="59" spans="1:9" x14ac:dyDescent="0.2">
      <c r="A59" t="s">
        <v>37</v>
      </c>
      <c r="B59" s="11"/>
      <c r="C59" s="11"/>
      <c r="D59" s="11">
        <f>CuidadosPessoais4973[[#This Row],[Custo previsto]]-CuidadosPessoais4973[[#This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CuidadosPessoais4973[[#This Row],[Custo previsto]]-CuidadosPessoais4973[[#This Row],[Custo Real]]</f>
        <v>0</v>
      </c>
      <c r="F60" s="20" t="s">
        <v>76</v>
      </c>
      <c r="G60" s="20"/>
      <c r="H60" s="20"/>
      <c r="I60" s="19">
        <f>SUBTOTAL(109,Moradia3862[Custo Real],Transporte4165[Custo Real],Seguro4266[Custo Real],Alimentação4569[Custo Real],Animais_de_estimação4771[Custo Real],CuidadosPessoais4973[Custo Real],Entretenimento3963[Custo Real],Empréstimos4064[Custo Real],Impostos4367[Custo Real],Poupança4468[Custo Real],Presentes4670[Custo Real],Assessoria_jurídica4872[Custo Real])</f>
        <v>1236</v>
      </c>
    </row>
    <row r="61" spans="1:9" x14ac:dyDescent="0.2">
      <c r="A61" t="s">
        <v>39</v>
      </c>
      <c r="B61" s="11"/>
      <c r="C61" s="11"/>
      <c r="D61" s="11">
        <f>CuidadosPessoais4973[[#This Row],[Custo previsto]]-CuidadosPessoais4973[[#This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CuidadosPessoais4973[[#This Row],[Custo previsto]]-CuidadosPessoais4973[[#This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SUBTOTAL(109,CuidadosPessoais4973[Diferença])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17" priority="2" operator="lessThan">
      <formula>0</formula>
    </cfRule>
  </conditionalFormatting>
  <conditionalFormatting sqref="I62:I63">
    <cfRule type="cellIs" dxfId="16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FA4D-EA97-4357-A384-5C5A58879E09}">
  <dimension ref="A1:I64"/>
  <sheetViews>
    <sheetView workbookViewId="0">
      <selection activeCell="A2" sqref="A1:A1048576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Moradia3874[[#This Row],[Custo previsto]]-Moradia3874[[#This Row],[Custo Real]]</f>
        <v>0</v>
      </c>
      <c r="F12" t="s">
        <v>50</v>
      </c>
      <c r="G12" s="11"/>
      <c r="H12" s="11"/>
      <c r="I12" s="11">
        <f>Entretenimento3975[[#This Row],[Custo previsto]]-Entretenimento3975[[#This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Moradia3874[[#This Row],[Custo previsto]]-Moradia3874[[#This Row],[Custo Real]]</f>
        <v>-46</v>
      </c>
      <c r="F13" t="s">
        <v>51</v>
      </c>
      <c r="G13" s="11"/>
      <c r="H13" s="11"/>
      <c r="I13" s="11">
        <f>Entretenimento3975[[#This Row],[Custo previsto]]-Entretenimento3975[[#This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Moradia3874[[#This Row],[Custo previsto]]-Moradia3874[[#This Row],[Custo Real]]</f>
        <v>-12</v>
      </c>
      <c r="F14" t="s">
        <v>52</v>
      </c>
      <c r="G14" s="11"/>
      <c r="H14" s="11"/>
      <c r="I14" s="11">
        <f>Entretenimento3975[[#This Row],[Custo previsto]]-Entretenimento3975[[#This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Moradia3874[[#This Row],[Custo previsto]]-Moradia3874[[#This Row],[Custo Real]]</f>
        <v>-6</v>
      </c>
      <c r="F15" t="s">
        <v>53</v>
      </c>
      <c r="G15" s="11"/>
      <c r="H15" s="11"/>
      <c r="I15" s="11">
        <f>Entretenimento3975[[#This Row],[Custo previsto]]-Entretenimento3975[[#This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Moradia3874[[#This Row],[Custo previsto]]-Moradia3874[[#This Row],[Custo Real]]</f>
        <v>0</v>
      </c>
      <c r="F16" t="s">
        <v>54</v>
      </c>
      <c r="G16" s="11"/>
      <c r="H16" s="11"/>
      <c r="I16" s="11">
        <f>Entretenimento3975[[#This Row],[Custo previsto]]-Entretenimento3975[[#This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Moradia3874[[#This Row],[Custo previsto]]-Moradia3874[[#This Row],[Custo Real]]</f>
        <v>0</v>
      </c>
      <c r="F17" t="s">
        <v>55</v>
      </c>
      <c r="G17" s="11"/>
      <c r="H17" s="11"/>
      <c r="I17" s="11">
        <f>Entretenimento3975[[#This Row],[Custo previsto]]-Entretenimento3975[[#This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Moradia3874[[#This Row],[Custo previsto]]-Moradia3874[[#This Row],[Custo Real]]</f>
        <v>0</v>
      </c>
      <c r="F18" t="s">
        <v>13</v>
      </c>
      <c r="G18" s="11"/>
      <c r="H18" s="11"/>
      <c r="I18" s="11">
        <f>Entretenimento3975[[#This Row],[Custo previsto]]-Entretenimento3975[[#This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Moradia3874[[#This Row],[Custo previsto]]-Moradia3874[[#This Row],[Custo Real]]</f>
        <v>23</v>
      </c>
      <c r="F19" t="s">
        <v>13</v>
      </c>
      <c r="G19" s="11"/>
      <c r="H19" s="11"/>
      <c r="I19" s="11">
        <f>Entretenimento3975[[#This Row],[Custo previsto]]-Entretenimento3975[[#This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Moradia3874[[#This Row],[Custo previsto]]-Moradia3874[[#This Row],[Custo Real]]</f>
        <v>0</v>
      </c>
      <c r="F20" t="s">
        <v>13</v>
      </c>
      <c r="G20" s="11"/>
      <c r="H20" s="11"/>
      <c r="I20" s="11">
        <f>Entretenimento3975[[#This Row],[Custo previsto]]-Entretenimento3975[[#This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Moradia3874[[#This Row],[Custo previsto]]-Moradia3874[[#This Row],[Custo Real]]</f>
        <v>0</v>
      </c>
      <c r="F21" t="s">
        <v>14</v>
      </c>
      <c r="G21" s="11"/>
      <c r="H21" s="11"/>
      <c r="I21" s="11">
        <f>SUBTOTAL(109,Entretenimento3975[Diferença])</f>
        <v>0</v>
      </c>
    </row>
    <row r="22" spans="1:9" x14ac:dyDescent="0.2">
      <c r="A22" t="s">
        <v>14</v>
      </c>
      <c r="B22" s="11"/>
      <c r="C22" s="11"/>
      <c r="D22" s="11">
        <f>SUBTOTAL(109,Moradia3874[Diferença])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Empréstimos4076[[#This Row],[Custo previsto]]-Empréstimos4076[[#This Row],[Custo Real]]</f>
        <v>0</v>
      </c>
    </row>
    <row r="25" spans="1:9" x14ac:dyDescent="0.2">
      <c r="A25" t="s">
        <v>16</v>
      </c>
      <c r="B25" s="11"/>
      <c r="C25" s="11"/>
      <c r="D25" s="11">
        <f>Transporte4177[[#This Row],[Custo previsto]]-Transporte4177[[#This Row],[Custo Real]]</f>
        <v>0</v>
      </c>
      <c r="F25" t="s">
        <v>58</v>
      </c>
      <c r="G25" s="11"/>
      <c r="H25" s="11"/>
      <c r="I25" s="11">
        <f>Empréstimos4076[[#This Row],[Custo previsto]]-Empréstimos4076[[#This Row],[Custo Real]]</f>
        <v>0</v>
      </c>
    </row>
    <row r="26" spans="1:9" x14ac:dyDescent="0.2">
      <c r="A26" t="s">
        <v>17</v>
      </c>
      <c r="B26" s="11"/>
      <c r="C26" s="11"/>
      <c r="D26" s="11">
        <f>Transporte4177[[#This Row],[Custo previsto]]-Transporte4177[[#This Row],[Custo Real]]</f>
        <v>0</v>
      </c>
      <c r="F26" t="s">
        <v>59</v>
      </c>
      <c r="G26" s="11"/>
      <c r="H26" s="11"/>
      <c r="I26" s="11">
        <f>Empréstimos4076[[#This Row],[Custo previsto]]-Empréstimos4076[[#This Row],[Custo Real]]</f>
        <v>0</v>
      </c>
    </row>
    <row r="27" spans="1:9" x14ac:dyDescent="0.2">
      <c r="A27" t="s">
        <v>18</v>
      </c>
      <c r="B27" s="11"/>
      <c r="C27" s="11"/>
      <c r="D27" s="11">
        <f>Transporte4177[[#This Row],[Custo previsto]]-Transporte4177[[#This Row],[Custo Real]]</f>
        <v>0</v>
      </c>
      <c r="F27" t="s">
        <v>59</v>
      </c>
      <c r="G27" s="11"/>
      <c r="H27" s="11"/>
      <c r="I27" s="11">
        <f>Empréstimos4076[[#This Row],[Custo previsto]]-Empréstimos4076[[#This Row],[Custo Real]]</f>
        <v>0</v>
      </c>
    </row>
    <row r="28" spans="1:9" x14ac:dyDescent="0.2">
      <c r="A28" t="s">
        <v>19</v>
      </c>
      <c r="B28" s="11"/>
      <c r="C28" s="11"/>
      <c r="D28" s="11">
        <f>Transporte4177[[#This Row],[Custo previsto]]-Transporte4177[[#This Row],[Custo Real]]</f>
        <v>0</v>
      </c>
      <c r="F28" t="s">
        <v>59</v>
      </c>
      <c r="G28" s="11"/>
      <c r="H28" s="11"/>
      <c r="I28" s="11">
        <f>Empréstimos4076[[#This Row],[Custo previsto]]-Empréstimos4076[[#This Row],[Custo Real]]</f>
        <v>0</v>
      </c>
    </row>
    <row r="29" spans="1:9" x14ac:dyDescent="0.2">
      <c r="A29" t="s">
        <v>20</v>
      </c>
      <c r="B29" s="11"/>
      <c r="C29" s="11"/>
      <c r="D29" s="11">
        <f>Transporte4177[[#This Row],[Custo previsto]]-Transporte4177[[#This Row],[Custo Real]]</f>
        <v>0</v>
      </c>
      <c r="F29" t="s">
        <v>13</v>
      </c>
      <c r="G29" s="11"/>
      <c r="H29" s="11"/>
      <c r="I29" s="11">
        <f>Empréstimos4076[[#This Row],[Custo previsto]]-Empréstimos4076[[#This Row],[Custo Real]]</f>
        <v>0</v>
      </c>
    </row>
    <row r="30" spans="1:9" x14ac:dyDescent="0.2">
      <c r="A30" t="s">
        <v>21</v>
      </c>
      <c r="B30" s="11"/>
      <c r="C30" s="11"/>
      <c r="D30" s="11">
        <f>Transporte4177[[#This Row],[Custo previsto]]-Transporte4177[[#This Row],[Custo Real]]</f>
        <v>0</v>
      </c>
      <c r="F30" t="s">
        <v>14</v>
      </c>
      <c r="G30" s="11"/>
      <c r="H30" s="11"/>
      <c r="I30" s="11">
        <f>SUBTOTAL(109,Empréstimos4076[Diferença])</f>
        <v>0</v>
      </c>
    </row>
    <row r="31" spans="1:9" x14ac:dyDescent="0.2">
      <c r="A31" t="s">
        <v>13</v>
      </c>
      <c r="B31" s="11"/>
      <c r="C31" s="11"/>
      <c r="D31" s="11">
        <f>Transporte4177[[#This Row],[Custo previsto]]-Transporte4177[[#This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SUBTOTAL(109,Transporte4177[Diferença])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Impostos4379[[#This Row],[Custo previsto]]-Impostos4379[[#This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Impostos4379[[#This Row],[Custo previsto]]-Impostos4379[[#This Row],[Custo Real]]</f>
        <v>0</v>
      </c>
    </row>
    <row r="35" spans="1:9" x14ac:dyDescent="0.2">
      <c r="A35" t="s">
        <v>23</v>
      </c>
      <c r="B35" s="11"/>
      <c r="C35" s="11"/>
      <c r="D35" s="11">
        <f>Seguro4278[[#This Row],[Custo previsto]]-Seguro4278[[#This Row],[Custo Real]]</f>
        <v>0</v>
      </c>
      <c r="F35" t="s">
        <v>63</v>
      </c>
      <c r="G35" s="11"/>
      <c r="H35" s="11"/>
      <c r="I35" s="11">
        <f>Impostos4379[[#This Row],[Custo previsto]]-Impostos4379[[#This Row],[Custo Real]]</f>
        <v>0</v>
      </c>
    </row>
    <row r="36" spans="1:9" x14ac:dyDescent="0.2">
      <c r="A36" t="s">
        <v>24</v>
      </c>
      <c r="B36" s="11"/>
      <c r="C36" s="11"/>
      <c r="D36" s="11">
        <f>Seguro4278[[#This Row],[Custo previsto]]-Seguro4278[[#This Row],[Custo Real]]</f>
        <v>0</v>
      </c>
      <c r="F36" t="s">
        <v>13</v>
      </c>
      <c r="G36" s="11"/>
      <c r="H36" s="11"/>
      <c r="I36" s="11">
        <f>Impostos4379[[#This Row],[Custo previsto]]-Impostos4379[[#This Row],[Custo Real]]</f>
        <v>0</v>
      </c>
    </row>
    <row r="37" spans="1:9" x14ac:dyDescent="0.2">
      <c r="A37" t="s">
        <v>25</v>
      </c>
      <c r="B37" s="11"/>
      <c r="C37" s="11"/>
      <c r="D37" s="11">
        <f>Seguro4278[[#This Row],[Custo previsto]]-Seguro4278[[#This Row],[Custo Real]]</f>
        <v>0</v>
      </c>
      <c r="F37" t="s">
        <v>14</v>
      </c>
      <c r="G37" s="11"/>
      <c r="H37" s="11"/>
      <c r="I37" s="11">
        <f>SUBTOTAL(109,Impostos4379[Diferença])</f>
        <v>0</v>
      </c>
    </row>
    <row r="38" spans="1:9" x14ac:dyDescent="0.2">
      <c r="A38" t="s">
        <v>13</v>
      </c>
      <c r="B38" s="11"/>
      <c r="C38" s="11"/>
      <c r="D38" s="11">
        <f>Seguro4278[[#This Row],[Custo previsto]]-Seguro4278[[#This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SUBTOTAL(109,Seguro4278[Diferença])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Poupança4480[[#This Row],[Custo previsto]]-Poupança4480[[#This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Poupança4480[[#This Row],[Custo previsto]]-Poupança4480[[#This Row],[Custo Real]]</f>
        <v>0</v>
      </c>
    </row>
    <row r="42" spans="1:9" x14ac:dyDescent="0.2">
      <c r="A42" t="s">
        <v>27</v>
      </c>
      <c r="B42" s="11"/>
      <c r="C42" s="11"/>
      <c r="D42" s="11">
        <f>Alimentação4581[[#This Row],[Custo previsto]]-Alimentação4581[[#This Row],[Custo Real]]</f>
        <v>0</v>
      </c>
      <c r="F42" t="s">
        <v>13</v>
      </c>
      <c r="G42" s="11"/>
      <c r="H42" s="11"/>
      <c r="I42" s="11">
        <f>Poupança4480[[#This Row],[Custo previsto]]-Poupança4480[[#This Row],[Custo Real]]</f>
        <v>0</v>
      </c>
    </row>
    <row r="43" spans="1:9" x14ac:dyDescent="0.2">
      <c r="A43" t="s">
        <v>28</v>
      </c>
      <c r="B43" s="11"/>
      <c r="C43" s="11"/>
      <c r="D43" s="11">
        <f>Alimentação4581[[#This Row],[Custo previsto]]-Alimentação4581[[#This Row],[Custo Real]]</f>
        <v>0</v>
      </c>
      <c r="F43" t="s">
        <v>14</v>
      </c>
      <c r="G43" s="11"/>
      <c r="H43" s="11"/>
      <c r="I43" s="11">
        <f>SUBTOTAL(109,Poupança4480[Diferença])</f>
        <v>0</v>
      </c>
    </row>
    <row r="44" spans="1:9" x14ac:dyDescent="0.2">
      <c r="A44" t="s">
        <v>13</v>
      </c>
      <c r="B44" s="11"/>
      <c r="C44" s="11"/>
      <c r="D44" s="11">
        <f>Alimentação4581[[#This Row],[Custo previsto]]-Alimentação4581[[#This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SUBTOTAL(109,Alimentação4581[Diferença])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Presentes4682[[#This Row],[Custo previsto]]-Presentes4682[[#This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Presentes4682[[#This Row],[Custo previsto]]-Presentes4682[[#This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Animais_de_estimação4783[[#This Row],[Custo previsto]]-Animais_de_estimação4783[[#This Row],[Custo Real]]</f>
        <v>0</v>
      </c>
      <c r="F48" t="s">
        <v>70</v>
      </c>
      <c r="G48" s="11"/>
      <c r="H48" s="11"/>
      <c r="I48" s="11">
        <f>Presentes4682[[#This Row],[Custo previsto]]-Presentes4682[[#This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Animais_de_estimação4783[[#This Row],[Custo previsto]]-Animais_de_estimação4783[[#This Row],[Custo Real]]</f>
        <v>0</v>
      </c>
      <c r="F49" t="s">
        <v>14</v>
      </c>
      <c r="G49" s="11"/>
      <c r="H49" s="11"/>
      <c r="I49" s="11">
        <f>SUBTOTAL(109,Presentes4682[Diferença])</f>
        <v>0</v>
      </c>
    </row>
    <row r="50" spans="1:9" x14ac:dyDescent="0.2">
      <c r="A50" t="s">
        <v>32</v>
      </c>
      <c r="B50" s="11"/>
      <c r="C50" s="11"/>
      <c r="D50" s="11">
        <f>Animais_de_estimação4783[[#This Row],[Custo previsto]]-Animais_de_estimação4783[[#This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Animais_de_estimação4783[[#This Row],[Custo previsto]]-Animais_de_estimação4783[[#This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Animais_de_estimação4783[[#This Row],[Custo previsto]]-Animais_de_estimação4783[[#This Row],[Custo Real]]</f>
        <v>0</v>
      </c>
      <c r="F52" t="s">
        <v>72</v>
      </c>
      <c r="G52" s="11"/>
      <c r="H52" s="11"/>
      <c r="I52" s="11">
        <f>Assessoria_jurídica4884[[#This Row],[Custo previsto]]-Assessoria_jurídica4884[[#This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SUBTOTAL(109,Animais_de_estimação4783[Diferença])</f>
        <v>0</v>
      </c>
      <c r="F53" t="s">
        <v>73</v>
      </c>
      <c r="G53" s="11"/>
      <c r="H53" s="11"/>
      <c r="I53" s="11">
        <f>Assessoria_jurídica4884[[#This Row],[Custo previsto]]-Assessoria_jurídica4884[[#This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Assessoria_jurídica4884[[#This Row],[Custo previsto]]-Assessoria_jurídica4884[[#This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Assessoria_jurídica4884[[#This Row],[Custo previsto]]-Assessoria_jurídica4884[[#This Row],[Custo Real]]</f>
        <v>0</v>
      </c>
    </row>
    <row r="56" spans="1:9" x14ac:dyDescent="0.2">
      <c r="A56" t="s">
        <v>31</v>
      </c>
      <c r="B56" s="11"/>
      <c r="C56" s="11"/>
      <c r="D56" s="11">
        <f>CuidadosPessoais4985[[#This Row],[Custo previsto]]-CuidadosPessoais4985[[#This Row],[Custo Real]]</f>
        <v>0</v>
      </c>
      <c r="F56" t="s">
        <v>14</v>
      </c>
      <c r="G56" s="11"/>
      <c r="H56" s="11"/>
      <c r="I56" s="11">
        <f>SUBTOTAL(109,Assessoria_jurídica4884[Diferença])</f>
        <v>0</v>
      </c>
    </row>
    <row r="57" spans="1:9" x14ac:dyDescent="0.2">
      <c r="A57" t="s">
        <v>35</v>
      </c>
      <c r="B57" s="11"/>
      <c r="C57" s="11"/>
      <c r="D57" s="11">
        <f>CuidadosPessoais4985[[#This Row],[Custo previsto]]-CuidadosPessoais4985[[#This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CuidadosPessoais4985[[#This Row],[Custo previsto]]-CuidadosPessoais4985[[#This Row],[Custo Real]]</f>
        <v>0</v>
      </c>
      <c r="F58" s="20" t="s">
        <v>75</v>
      </c>
      <c r="G58" s="20"/>
      <c r="H58" s="20"/>
      <c r="I58" s="19">
        <f>SUBTOTAL(109,Moradia3874[Custo previsto],Transporte4177[Custo previsto],Seguro4278[Custo previsto],Alimentação4581[Custo previsto],Animais_de_estimação4783[Custo previsto],CuidadosPessoais4985[Custo previsto],Entretenimento3975[Custo previsto],Empréstimos4076[Custo previsto],Impostos4379[Custo previsto],Poupança4480[Custo previsto],Presentes4682[Custo previsto],Assessoria_jurídica4884[Custo previsto])</f>
        <v>1195</v>
      </c>
    </row>
    <row r="59" spans="1:9" x14ac:dyDescent="0.2">
      <c r="A59" t="s">
        <v>37</v>
      </c>
      <c r="B59" s="11"/>
      <c r="C59" s="11"/>
      <c r="D59" s="11">
        <f>CuidadosPessoais4985[[#This Row],[Custo previsto]]-CuidadosPessoais4985[[#This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CuidadosPessoais4985[[#This Row],[Custo previsto]]-CuidadosPessoais4985[[#This Row],[Custo Real]]</f>
        <v>0</v>
      </c>
      <c r="F60" s="20" t="s">
        <v>76</v>
      </c>
      <c r="G60" s="20"/>
      <c r="H60" s="20"/>
      <c r="I60" s="19">
        <f>SUBTOTAL(109,Moradia3874[Custo Real],Transporte4177[Custo Real],Seguro4278[Custo Real],Alimentação4581[Custo Real],Animais_de_estimação4783[Custo Real],CuidadosPessoais4985[Custo Real],Entretenimento3975[Custo Real],Empréstimos4076[Custo Real],Impostos4379[Custo Real],Poupança4480[Custo Real],Presentes4682[Custo Real],Assessoria_jurídica4884[Custo Real])</f>
        <v>1236</v>
      </c>
    </row>
    <row r="61" spans="1:9" x14ac:dyDescent="0.2">
      <c r="A61" t="s">
        <v>39</v>
      </c>
      <c r="B61" s="11"/>
      <c r="C61" s="11"/>
      <c r="D61" s="11">
        <f>CuidadosPessoais4985[[#This Row],[Custo previsto]]-CuidadosPessoais4985[[#This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CuidadosPessoais4985[[#This Row],[Custo previsto]]-CuidadosPessoais4985[[#This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SUBTOTAL(109,CuidadosPessoais4985[Diferença])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15" priority="2" operator="lessThan">
      <formula>0</formula>
    </cfRule>
  </conditionalFormatting>
  <conditionalFormatting sqref="I62:I63">
    <cfRule type="cellIs" dxfId="14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6A4E-C50E-4B45-9114-688B932F986F}">
  <dimension ref="A1:I64"/>
  <sheetViews>
    <sheetView workbookViewId="0">
      <selection activeCell="A2" sqref="A1:A1048576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Moradia3886[[#This Row],[Custo previsto]]-Moradia3886[[#This Row],[Custo Real]]</f>
        <v>0</v>
      </c>
      <c r="F12" t="s">
        <v>50</v>
      </c>
      <c r="G12" s="11"/>
      <c r="H12" s="11"/>
      <c r="I12" s="11">
        <f>Entretenimento3987[[#This Row],[Custo previsto]]-Entretenimento3987[[#This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Moradia3886[[#This Row],[Custo previsto]]-Moradia3886[[#This Row],[Custo Real]]</f>
        <v>-46</v>
      </c>
      <c r="F13" t="s">
        <v>51</v>
      </c>
      <c r="G13" s="11"/>
      <c r="H13" s="11"/>
      <c r="I13" s="11">
        <f>Entretenimento3987[[#This Row],[Custo previsto]]-Entretenimento3987[[#This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Moradia3886[[#This Row],[Custo previsto]]-Moradia3886[[#This Row],[Custo Real]]</f>
        <v>-12</v>
      </c>
      <c r="F14" t="s">
        <v>52</v>
      </c>
      <c r="G14" s="11"/>
      <c r="H14" s="11"/>
      <c r="I14" s="11">
        <f>Entretenimento3987[[#This Row],[Custo previsto]]-Entretenimento3987[[#This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Moradia3886[[#This Row],[Custo previsto]]-Moradia3886[[#This Row],[Custo Real]]</f>
        <v>-6</v>
      </c>
      <c r="F15" t="s">
        <v>53</v>
      </c>
      <c r="G15" s="11"/>
      <c r="H15" s="11"/>
      <c r="I15" s="11">
        <f>Entretenimento3987[[#This Row],[Custo previsto]]-Entretenimento3987[[#This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Moradia3886[[#This Row],[Custo previsto]]-Moradia3886[[#This Row],[Custo Real]]</f>
        <v>0</v>
      </c>
      <c r="F16" t="s">
        <v>54</v>
      </c>
      <c r="G16" s="11"/>
      <c r="H16" s="11"/>
      <c r="I16" s="11">
        <f>Entretenimento3987[[#This Row],[Custo previsto]]-Entretenimento3987[[#This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Moradia3886[[#This Row],[Custo previsto]]-Moradia3886[[#This Row],[Custo Real]]</f>
        <v>0</v>
      </c>
      <c r="F17" t="s">
        <v>55</v>
      </c>
      <c r="G17" s="11"/>
      <c r="H17" s="11"/>
      <c r="I17" s="11">
        <f>Entretenimento3987[[#This Row],[Custo previsto]]-Entretenimento3987[[#This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Moradia3886[[#This Row],[Custo previsto]]-Moradia3886[[#This Row],[Custo Real]]</f>
        <v>0</v>
      </c>
      <c r="F18" t="s">
        <v>13</v>
      </c>
      <c r="G18" s="11"/>
      <c r="H18" s="11"/>
      <c r="I18" s="11">
        <f>Entretenimento3987[[#This Row],[Custo previsto]]-Entretenimento3987[[#This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Moradia3886[[#This Row],[Custo previsto]]-Moradia3886[[#This Row],[Custo Real]]</f>
        <v>23</v>
      </c>
      <c r="F19" t="s">
        <v>13</v>
      </c>
      <c r="G19" s="11"/>
      <c r="H19" s="11"/>
      <c r="I19" s="11">
        <f>Entretenimento3987[[#This Row],[Custo previsto]]-Entretenimento3987[[#This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Moradia3886[[#This Row],[Custo previsto]]-Moradia3886[[#This Row],[Custo Real]]</f>
        <v>0</v>
      </c>
      <c r="F20" t="s">
        <v>13</v>
      </c>
      <c r="G20" s="11"/>
      <c r="H20" s="11"/>
      <c r="I20" s="11">
        <f>Entretenimento3987[[#This Row],[Custo previsto]]-Entretenimento3987[[#This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Moradia3886[[#This Row],[Custo previsto]]-Moradia3886[[#This Row],[Custo Real]]</f>
        <v>0</v>
      </c>
      <c r="F21" t="s">
        <v>14</v>
      </c>
      <c r="G21" s="11"/>
      <c r="H21" s="11"/>
      <c r="I21" s="11">
        <f>SUBTOTAL(109,Entretenimento3987[Diferença])</f>
        <v>0</v>
      </c>
    </row>
    <row r="22" spans="1:9" x14ac:dyDescent="0.2">
      <c r="A22" t="s">
        <v>14</v>
      </c>
      <c r="B22" s="11"/>
      <c r="C22" s="11"/>
      <c r="D22" s="11">
        <f>SUBTOTAL(109,Moradia3886[Diferença])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Empréstimos4088[[#This Row],[Custo previsto]]-Empréstimos4088[[#This Row],[Custo Real]]</f>
        <v>0</v>
      </c>
    </row>
    <row r="25" spans="1:9" x14ac:dyDescent="0.2">
      <c r="A25" t="s">
        <v>16</v>
      </c>
      <c r="B25" s="11"/>
      <c r="C25" s="11"/>
      <c r="D25" s="11">
        <f>Transporte4189[[#This Row],[Custo previsto]]-Transporte4189[[#This Row],[Custo Real]]</f>
        <v>0</v>
      </c>
      <c r="F25" t="s">
        <v>58</v>
      </c>
      <c r="G25" s="11"/>
      <c r="H25" s="11"/>
      <c r="I25" s="11">
        <f>Empréstimos4088[[#This Row],[Custo previsto]]-Empréstimos4088[[#This Row],[Custo Real]]</f>
        <v>0</v>
      </c>
    </row>
    <row r="26" spans="1:9" x14ac:dyDescent="0.2">
      <c r="A26" t="s">
        <v>17</v>
      </c>
      <c r="B26" s="11"/>
      <c r="C26" s="11"/>
      <c r="D26" s="11">
        <f>Transporte4189[[#This Row],[Custo previsto]]-Transporte4189[[#This Row],[Custo Real]]</f>
        <v>0</v>
      </c>
      <c r="F26" t="s">
        <v>59</v>
      </c>
      <c r="G26" s="11"/>
      <c r="H26" s="11"/>
      <c r="I26" s="11">
        <f>Empréstimos4088[[#This Row],[Custo previsto]]-Empréstimos4088[[#This Row],[Custo Real]]</f>
        <v>0</v>
      </c>
    </row>
    <row r="27" spans="1:9" x14ac:dyDescent="0.2">
      <c r="A27" t="s">
        <v>18</v>
      </c>
      <c r="B27" s="11"/>
      <c r="C27" s="11"/>
      <c r="D27" s="11">
        <f>Transporte4189[[#This Row],[Custo previsto]]-Transporte4189[[#This Row],[Custo Real]]</f>
        <v>0</v>
      </c>
      <c r="F27" t="s">
        <v>59</v>
      </c>
      <c r="G27" s="11"/>
      <c r="H27" s="11"/>
      <c r="I27" s="11">
        <f>Empréstimos4088[[#This Row],[Custo previsto]]-Empréstimos4088[[#This Row],[Custo Real]]</f>
        <v>0</v>
      </c>
    </row>
    <row r="28" spans="1:9" x14ac:dyDescent="0.2">
      <c r="A28" t="s">
        <v>19</v>
      </c>
      <c r="B28" s="11"/>
      <c r="C28" s="11"/>
      <c r="D28" s="11">
        <f>Transporte4189[[#This Row],[Custo previsto]]-Transporte4189[[#This Row],[Custo Real]]</f>
        <v>0</v>
      </c>
      <c r="F28" t="s">
        <v>59</v>
      </c>
      <c r="G28" s="11"/>
      <c r="H28" s="11"/>
      <c r="I28" s="11">
        <f>Empréstimos4088[[#This Row],[Custo previsto]]-Empréstimos4088[[#This Row],[Custo Real]]</f>
        <v>0</v>
      </c>
    </row>
    <row r="29" spans="1:9" x14ac:dyDescent="0.2">
      <c r="A29" t="s">
        <v>20</v>
      </c>
      <c r="B29" s="11"/>
      <c r="C29" s="11"/>
      <c r="D29" s="11">
        <f>Transporte4189[[#This Row],[Custo previsto]]-Transporte4189[[#This Row],[Custo Real]]</f>
        <v>0</v>
      </c>
      <c r="F29" t="s">
        <v>13</v>
      </c>
      <c r="G29" s="11"/>
      <c r="H29" s="11"/>
      <c r="I29" s="11">
        <f>Empréstimos4088[[#This Row],[Custo previsto]]-Empréstimos4088[[#This Row],[Custo Real]]</f>
        <v>0</v>
      </c>
    </row>
    <row r="30" spans="1:9" x14ac:dyDescent="0.2">
      <c r="A30" t="s">
        <v>21</v>
      </c>
      <c r="B30" s="11"/>
      <c r="C30" s="11"/>
      <c r="D30" s="11">
        <f>Transporte4189[[#This Row],[Custo previsto]]-Transporte4189[[#This Row],[Custo Real]]</f>
        <v>0</v>
      </c>
      <c r="F30" t="s">
        <v>14</v>
      </c>
      <c r="G30" s="11"/>
      <c r="H30" s="11"/>
      <c r="I30" s="11">
        <f>SUBTOTAL(109,Empréstimos4088[Diferença])</f>
        <v>0</v>
      </c>
    </row>
    <row r="31" spans="1:9" x14ac:dyDescent="0.2">
      <c r="A31" t="s">
        <v>13</v>
      </c>
      <c r="B31" s="11"/>
      <c r="C31" s="11"/>
      <c r="D31" s="11">
        <f>Transporte4189[[#This Row],[Custo previsto]]-Transporte4189[[#This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SUBTOTAL(109,Transporte4189[Diferença])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Impostos4391[[#This Row],[Custo previsto]]-Impostos4391[[#This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Impostos4391[[#This Row],[Custo previsto]]-Impostos4391[[#This Row],[Custo Real]]</f>
        <v>0</v>
      </c>
    </row>
    <row r="35" spans="1:9" x14ac:dyDescent="0.2">
      <c r="A35" t="s">
        <v>23</v>
      </c>
      <c r="B35" s="11"/>
      <c r="C35" s="11"/>
      <c r="D35" s="11">
        <f>Seguro4290[[#This Row],[Custo previsto]]-Seguro4290[[#This Row],[Custo Real]]</f>
        <v>0</v>
      </c>
      <c r="F35" t="s">
        <v>63</v>
      </c>
      <c r="G35" s="11"/>
      <c r="H35" s="11"/>
      <c r="I35" s="11">
        <f>Impostos4391[[#This Row],[Custo previsto]]-Impostos4391[[#This Row],[Custo Real]]</f>
        <v>0</v>
      </c>
    </row>
    <row r="36" spans="1:9" x14ac:dyDescent="0.2">
      <c r="A36" t="s">
        <v>24</v>
      </c>
      <c r="B36" s="11"/>
      <c r="C36" s="11"/>
      <c r="D36" s="11">
        <f>Seguro4290[[#This Row],[Custo previsto]]-Seguro4290[[#This Row],[Custo Real]]</f>
        <v>0</v>
      </c>
      <c r="F36" t="s">
        <v>13</v>
      </c>
      <c r="G36" s="11"/>
      <c r="H36" s="11"/>
      <c r="I36" s="11">
        <f>Impostos4391[[#This Row],[Custo previsto]]-Impostos4391[[#This Row],[Custo Real]]</f>
        <v>0</v>
      </c>
    </row>
    <row r="37" spans="1:9" x14ac:dyDescent="0.2">
      <c r="A37" t="s">
        <v>25</v>
      </c>
      <c r="B37" s="11"/>
      <c r="C37" s="11"/>
      <c r="D37" s="11">
        <f>Seguro4290[[#This Row],[Custo previsto]]-Seguro4290[[#This Row],[Custo Real]]</f>
        <v>0</v>
      </c>
      <c r="F37" t="s">
        <v>14</v>
      </c>
      <c r="G37" s="11"/>
      <c r="H37" s="11"/>
      <c r="I37" s="11">
        <f>SUBTOTAL(109,Impostos4391[Diferença])</f>
        <v>0</v>
      </c>
    </row>
    <row r="38" spans="1:9" x14ac:dyDescent="0.2">
      <c r="A38" t="s">
        <v>13</v>
      </c>
      <c r="B38" s="11"/>
      <c r="C38" s="11"/>
      <c r="D38" s="11">
        <f>Seguro4290[[#This Row],[Custo previsto]]-Seguro4290[[#This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SUBTOTAL(109,Seguro4290[Diferença])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Poupança4492[[#This Row],[Custo previsto]]-Poupança4492[[#This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Poupança4492[[#This Row],[Custo previsto]]-Poupança4492[[#This Row],[Custo Real]]</f>
        <v>0</v>
      </c>
    </row>
    <row r="42" spans="1:9" x14ac:dyDescent="0.2">
      <c r="A42" t="s">
        <v>27</v>
      </c>
      <c r="B42" s="11"/>
      <c r="C42" s="11"/>
      <c r="D42" s="11">
        <f>Alimentação4593[[#This Row],[Custo previsto]]-Alimentação4593[[#This Row],[Custo Real]]</f>
        <v>0</v>
      </c>
      <c r="F42" t="s">
        <v>13</v>
      </c>
      <c r="G42" s="11"/>
      <c r="H42" s="11"/>
      <c r="I42" s="11">
        <f>Poupança4492[[#This Row],[Custo previsto]]-Poupança4492[[#This Row],[Custo Real]]</f>
        <v>0</v>
      </c>
    </row>
    <row r="43" spans="1:9" x14ac:dyDescent="0.2">
      <c r="A43" t="s">
        <v>28</v>
      </c>
      <c r="B43" s="11"/>
      <c r="C43" s="11"/>
      <c r="D43" s="11">
        <f>Alimentação4593[[#This Row],[Custo previsto]]-Alimentação4593[[#This Row],[Custo Real]]</f>
        <v>0</v>
      </c>
      <c r="F43" t="s">
        <v>14</v>
      </c>
      <c r="G43" s="11"/>
      <c r="H43" s="11"/>
      <c r="I43" s="11">
        <f>SUBTOTAL(109,Poupança4492[Diferença])</f>
        <v>0</v>
      </c>
    </row>
    <row r="44" spans="1:9" x14ac:dyDescent="0.2">
      <c r="A44" t="s">
        <v>13</v>
      </c>
      <c r="B44" s="11"/>
      <c r="C44" s="11"/>
      <c r="D44" s="11">
        <f>Alimentação4593[[#This Row],[Custo previsto]]-Alimentação4593[[#This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SUBTOTAL(109,Alimentação4593[Diferença])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Presentes4694[[#This Row],[Custo previsto]]-Presentes4694[[#This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Presentes4694[[#This Row],[Custo previsto]]-Presentes4694[[#This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Animais_de_estimação4795[[#This Row],[Custo previsto]]-Animais_de_estimação4795[[#This Row],[Custo Real]]</f>
        <v>0</v>
      </c>
      <c r="F48" t="s">
        <v>70</v>
      </c>
      <c r="G48" s="11"/>
      <c r="H48" s="11"/>
      <c r="I48" s="11">
        <f>Presentes4694[[#This Row],[Custo previsto]]-Presentes4694[[#This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Animais_de_estimação4795[[#This Row],[Custo previsto]]-Animais_de_estimação4795[[#This Row],[Custo Real]]</f>
        <v>0</v>
      </c>
      <c r="F49" t="s">
        <v>14</v>
      </c>
      <c r="G49" s="11"/>
      <c r="H49" s="11"/>
      <c r="I49" s="11">
        <f>SUBTOTAL(109,Presentes4694[Diferença])</f>
        <v>0</v>
      </c>
    </row>
    <row r="50" spans="1:9" x14ac:dyDescent="0.2">
      <c r="A50" t="s">
        <v>32</v>
      </c>
      <c r="B50" s="11"/>
      <c r="C50" s="11"/>
      <c r="D50" s="11">
        <f>Animais_de_estimação4795[[#This Row],[Custo previsto]]-Animais_de_estimação4795[[#This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Animais_de_estimação4795[[#This Row],[Custo previsto]]-Animais_de_estimação4795[[#This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Animais_de_estimação4795[[#This Row],[Custo previsto]]-Animais_de_estimação4795[[#This Row],[Custo Real]]</f>
        <v>0</v>
      </c>
      <c r="F52" t="s">
        <v>72</v>
      </c>
      <c r="G52" s="11"/>
      <c r="H52" s="11"/>
      <c r="I52" s="11">
        <f>Assessoria_jurídica4896[[#This Row],[Custo previsto]]-Assessoria_jurídica4896[[#This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SUBTOTAL(109,Animais_de_estimação4795[Diferença])</f>
        <v>0</v>
      </c>
      <c r="F53" t="s">
        <v>73</v>
      </c>
      <c r="G53" s="11"/>
      <c r="H53" s="11"/>
      <c r="I53" s="11">
        <f>Assessoria_jurídica4896[[#This Row],[Custo previsto]]-Assessoria_jurídica4896[[#This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Assessoria_jurídica4896[[#This Row],[Custo previsto]]-Assessoria_jurídica4896[[#This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Assessoria_jurídica4896[[#This Row],[Custo previsto]]-Assessoria_jurídica4896[[#This Row],[Custo Real]]</f>
        <v>0</v>
      </c>
    </row>
    <row r="56" spans="1:9" x14ac:dyDescent="0.2">
      <c r="A56" t="s">
        <v>31</v>
      </c>
      <c r="B56" s="11"/>
      <c r="C56" s="11"/>
      <c r="D56" s="11">
        <f>CuidadosPessoais4997[[#This Row],[Custo previsto]]-CuidadosPessoais4997[[#This Row],[Custo Real]]</f>
        <v>0</v>
      </c>
      <c r="F56" t="s">
        <v>14</v>
      </c>
      <c r="G56" s="11"/>
      <c r="H56" s="11"/>
      <c r="I56" s="11">
        <f>SUBTOTAL(109,Assessoria_jurídica4896[Diferença])</f>
        <v>0</v>
      </c>
    </row>
    <row r="57" spans="1:9" x14ac:dyDescent="0.2">
      <c r="A57" t="s">
        <v>35</v>
      </c>
      <c r="B57" s="11"/>
      <c r="C57" s="11"/>
      <c r="D57" s="11">
        <f>CuidadosPessoais4997[[#This Row],[Custo previsto]]-CuidadosPessoais4997[[#This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CuidadosPessoais4997[[#This Row],[Custo previsto]]-CuidadosPessoais4997[[#This Row],[Custo Real]]</f>
        <v>0</v>
      </c>
      <c r="F58" s="20" t="s">
        <v>75</v>
      </c>
      <c r="G58" s="20"/>
      <c r="H58" s="20"/>
      <c r="I58" s="19">
        <f>SUBTOTAL(109,Moradia3886[Custo previsto],Transporte4189[Custo previsto],Seguro4290[Custo previsto],Alimentação4593[Custo previsto],Animais_de_estimação4795[Custo previsto],CuidadosPessoais4997[Custo previsto],Entretenimento3987[Custo previsto],Empréstimos4088[Custo previsto],Impostos4391[Custo previsto],Poupança4492[Custo previsto],Presentes4694[Custo previsto],Assessoria_jurídica4896[Custo previsto])</f>
        <v>1195</v>
      </c>
    </row>
    <row r="59" spans="1:9" x14ac:dyDescent="0.2">
      <c r="A59" t="s">
        <v>37</v>
      </c>
      <c r="B59" s="11"/>
      <c r="C59" s="11"/>
      <c r="D59" s="11">
        <f>CuidadosPessoais4997[[#This Row],[Custo previsto]]-CuidadosPessoais4997[[#This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CuidadosPessoais4997[[#This Row],[Custo previsto]]-CuidadosPessoais4997[[#This Row],[Custo Real]]</f>
        <v>0</v>
      </c>
      <c r="F60" s="20" t="s">
        <v>76</v>
      </c>
      <c r="G60" s="20"/>
      <c r="H60" s="20"/>
      <c r="I60" s="19">
        <f>SUBTOTAL(109,Moradia3886[Custo Real],Transporte4189[Custo Real],Seguro4290[Custo Real],Alimentação4593[Custo Real],Animais_de_estimação4795[Custo Real],CuidadosPessoais4997[Custo Real],Entretenimento3987[Custo Real],Empréstimos4088[Custo Real],Impostos4391[Custo Real],Poupança4492[Custo Real],Presentes4694[Custo Real],Assessoria_jurídica4896[Custo Real])</f>
        <v>1236</v>
      </c>
    </row>
    <row r="61" spans="1:9" x14ac:dyDescent="0.2">
      <c r="A61" t="s">
        <v>39</v>
      </c>
      <c r="B61" s="11"/>
      <c r="C61" s="11"/>
      <c r="D61" s="11">
        <f>CuidadosPessoais4997[[#This Row],[Custo previsto]]-CuidadosPessoais4997[[#This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CuidadosPessoais4997[[#This Row],[Custo previsto]]-CuidadosPessoais4997[[#This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SUBTOTAL(109,CuidadosPessoais4997[Diferença])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13" priority="2" operator="lessThan">
      <formula>0</formula>
    </cfRule>
  </conditionalFormatting>
  <conditionalFormatting sqref="I62:I63">
    <cfRule type="cellIs" dxfId="12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E11C-EEAB-48BD-A823-0BE1CD1BB03D}">
  <dimension ref="A1:I64"/>
  <sheetViews>
    <sheetView workbookViewId="0">
      <selection activeCell="A2" sqref="A1:A1048576"/>
    </sheetView>
  </sheetViews>
  <sheetFormatPr defaultRowHeight="12.75" x14ac:dyDescent="0.2"/>
  <cols>
    <col min="1" max="1" width="30.42578125" customWidth="1"/>
    <col min="2" max="2" width="16" customWidth="1"/>
    <col min="3" max="3" width="13" customWidth="1"/>
    <col min="4" max="4" width="12.5703125" customWidth="1"/>
    <col min="5" max="5" width="2.7109375" customWidth="1"/>
    <col min="6" max="6" width="35.140625" customWidth="1"/>
    <col min="7" max="7" width="16" customWidth="1"/>
    <col min="8" max="8" width="13" customWidth="1"/>
    <col min="9" max="9" width="12.5703125" customWidth="1"/>
    <col min="10" max="10" width="2.7109375" customWidth="1"/>
  </cols>
  <sheetData>
    <row r="1" spans="1:9" s="1" customFormat="1" ht="29.25" thickBot="1" x14ac:dyDescent="0.45">
      <c r="A1" s="21" t="s">
        <v>85</v>
      </c>
      <c r="B1" s="21"/>
      <c r="C1" s="21"/>
      <c r="D1" s="21"/>
      <c r="E1" s="21"/>
      <c r="F1" s="21"/>
      <c r="G1" s="21"/>
      <c r="H1" s="21"/>
      <c r="I1" s="21"/>
    </row>
    <row r="3" spans="1:9" ht="13.5" x14ac:dyDescent="0.25">
      <c r="A3" s="12" t="s">
        <v>1</v>
      </c>
      <c r="B3" s="17" t="s">
        <v>40</v>
      </c>
      <c r="C3" s="18"/>
      <c r="D3" s="8">
        <v>4300</v>
      </c>
      <c r="F3" s="15" t="s">
        <v>46</v>
      </c>
      <c r="G3" s="16"/>
      <c r="H3" s="16"/>
      <c r="I3" s="19">
        <f>D5-I58</f>
        <v>3405</v>
      </c>
    </row>
    <row r="4" spans="1:9" ht="13.5" x14ac:dyDescent="0.25">
      <c r="A4" s="13"/>
      <c r="B4" s="17" t="s">
        <v>41</v>
      </c>
      <c r="C4" s="18"/>
      <c r="D4" s="9">
        <v>300</v>
      </c>
      <c r="F4" s="16"/>
      <c r="G4" s="16"/>
      <c r="H4" s="16"/>
      <c r="I4" s="19"/>
    </row>
    <row r="5" spans="1:9" ht="13.5" x14ac:dyDescent="0.2">
      <c r="A5" s="14"/>
      <c r="B5" s="17" t="s">
        <v>42</v>
      </c>
      <c r="C5" s="18"/>
      <c r="D5" s="10">
        <f>SUM(D3:D4)</f>
        <v>4600</v>
      </c>
      <c r="F5" s="15" t="s">
        <v>47</v>
      </c>
      <c r="G5" s="16"/>
      <c r="H5" s="16"/>
      <c r="I5" s="19">
        <f>D9-I60</f>
        <v>3064</v>
      </c>
    </row>
    <row r="6" spans="1:9" ht="13.5" x14ac:dyDescent="0.25">
      <c r="A6" s="2"/>
      <c r="B6" s="2"/>
      <c r="C6" s="2"/>
      <c r="D6" s="2"/>
      <c r="F6" s="16"/>
      <c r="G6" s="16"/>
      <c r="H6" s="16"/>
      <c r="I6" s="19"/>
    </row>
    <row r="7" spans="1:9" ht="13.5" x14ac:dyDescent="0.25">
      <c r="A7" s="12" t="s">
        <v>2</v>
      </c>
      <c r="B7" s="17" t="s">
        <v>40</v>
      </c>
      <c r="C7" s="18"/>
      <c r="D7" s="8">
        <v>4000</v>
      </c>
      <c r="F7" s="15" t="s">
        <v>48</v>
      </c>
      <c r="G7" s="16"/>
      <c r="H7" s="16"/>
      <c r="I7" s="19">
        <f>I5-I3</f>
        <v>-341</v>
      </c>
    </row>
    <row r="8" spans="1:9" ht="13.5" x14ac:dyDescent="0.25">
      <c r="A8" s="13"/>
      <c r="B8" s="17" t="s">
        <v>41</v>
      </c>
      <c r="C8" s="18"/>
      <c r="D8" s="9">
        <v>300</v>
      </c>
      <c r="F8" s="16"/>
      <c r="G8" s="16"/>
      <c r="H8" s="16"/>
      <c r="I8" s="19"/>
    </row>
    <row r="9" spans="1:9" ht="13.5" x14ac:dyDescent="0.2">
      <c r="A9" s="14"/>
      <c r="B9" s="17" t="s">
        <v>42</v>
      </c>
      <c r="C9" s="18"/>
      <c r="D9" s="10">
        <f>SUM(D7:D8)</f>
        <v>4300</v>
      </c>
    </row>
    <row r="11" spans="1:9" x14ac:dyDescent="0.2">
      <c r="A11" t="s">
        <v>3</v>
      </c>
      <c r="B11" t="s">
        <v>43</v>
      </c>
      <c r="C11" t="s">
        <v>44</v>
      </c>
      <c r="D11" t="s">
        <v>45</v>
      </c>
      <c r="F11" t="s">
        <v>49</v>
      </c>
      <c r="G11" t="s">
        <v>43</v>
      </c>
      <c r="H11" t="s">
        <v>44</v>
      </c>
      <c r="I11" t="s">
        <v>45</v>
      </c>
    </row>
    <row r="12" spans="1:9" x14ac:dyDescent="0.2">
      <c r="A12" t="s">
        <v>4</v>
      </c>
      <c r="B12" s="11">
        <v>1000</v>
      </c>
      <c r="C12" s="11">
        <v>1000</v>
      </c>
      <c r="D12" s="11">
        <f>Moradia3898[[#This Row],[Custo previsto]]-Moradia3898[[#This Row],[Custo Real]]</f>
        <v>0</v>
      </c>
      <c r="F12" t="s">
        <v>50</v>
      </c>
      <c r="G12" s="11"/>
      <c r="H12" s="11"/>
      <c r="I12" s="11">
        <f>Entretenimento3999[[#This Row],[Custo previsto]]-Entretenimento3999[[#This Row],[Custo Real]]</f>
        <v>0</v>
      </c>
    </row>
    <row r="13" spans="1:9" x14ac:dyDescent="0.2">
      <c r="A13" t="s">
        <v>5</v>
      </c>
      <c r="B13" s="11">
        <v>54</v>
      </c>
      <c r="C13" s="11">
        <v>100</v>
      </c>
      <c r="D13" s="11">
        <f>Moradia3898[[#This Row],[Custo previsto]]-Moradia3898[[#This Row],[Custo Real]]</f>
        <v>-46</v>
      </c>
      <c r="F13" t="s">
        <v>51</v>
      </c>
      <c r="G13" s="11"/>
      <c r="H13" s="11"/>
      <c r="I13" s="11">
        <f>Entretenimento3999[[#This Row],[Custo previsto]]-Entretenimento3999[[#This Row],[Custo Real]]</f>
        <v>0</v>
      </c>
    </row>
    <row r="14" spans="1:9" x14ac:dyDescent="0.2">
      <c r="A14" t="s">
        <v>6</v>
      </c>
      <c r="B14" s="11">
        <v>44</v>
      </c>
      <c r="C14" s="11">
        <v>56</v>
      </c>
      <c r="D14" s="11">
        <f>Moradia3898[[#This Row],[Custo previsto]]-Moradia3898[[#This Row],[Custo Real]]</f>
        <v>-12</v>
      </c>
      <c r="F14" t="s">
        <v>52</v>
      </c>
      <c r="G14" s="11"/>
      <c r="H14" s="11"/>
      <c r="I14" s="11">
        <f>Entretenimento3999[[#This Row],[Custo previsto]]-Entretenimento3999[[#This Row],[Custo Real]]</f>
        <v>0</v>
      </c>
    </row>
    <row r="15" spans="1:9" x14ac:dyDescent="0.2">
      <c r="A15" t="s">
        <v>7</v>
      </c>
      <c r="B15" s="11">
        <v>22</v>
      </c>
      <c r="C15" s="11">
        <v>28</v>
      </c>
      <c r="D15" s="11">
        <f>Moradia3898[[#This Row],[Custo previsto]]-Moradia3898[[#This Row],[Custo Real]]</f>
        <v>-6</v>
      </c>
      <c r="F15" t="s">
        <v>53</v>
      </c>
      <c r="G15" s="11"/>
      <c r="H15" s="11"/>
      <c r="I15" s="11">
        <f>Entretenimento3999[[#This Row],[Custo previsto]]-Entretenimento3999[[#This Row],[Custo Real]]</f>
        <v>0</v>
      </c>
    </row>
    <row r="16" spans="1:9" x14ac:dyDescent="0.2">
      <c r="A16" t="s">
        <v>8</v>
      </c>
      <c r="B16" s="11">
        <v>8</v>
      </c>
      <c r="C16" s="11">
        <v>8</v>
      </c>
      <c r="D16" s="11">
        <f>Moradia3898[[#This Row],[Custo previsto]]-Moradia3898[[#This Row],[Custo Real]]</f>
        <v>0</v>
      </c>
      <c r="F16" t="s">
        <v>54</v>
      </c>
      <c r="G16" s="11"/>
      <c r="H16" s="11"/>
      <c r="I16" s="11">
        <f>Entretenimento3999[[#This Row],[Custo previsto]]-Entretenimento3999[[#This Row],[Custo Real]]</f>
        <v>0</v>
      </c>
    </row>
    <row r="17" spans="1:9" x14ac:dyDescent="0.2">
      <c r="A17" t="s">
        <v>9</v>
      </c>
      <c r="B17" s="11">
        <v>34</v>
      </c>
      <c r="C17" s="11">
        <v>34</v>
      </c>
      <c r="D17" s="11">
        <f>Moradia3898[[#This Row],[Custo previsto]]-Moradia3898[[#This Row],[Custo Real]]</f>
        <v>0</v>
      </c>
      <c r="F17" t="s">
        <v>55</v>
      </c>
      <c r="G17" s="11"/>
      <c r="H17" s="11"/>
      <c r="I17" s="11">
        <f>Entretenimento3999[[#This Row],[Custo previsto]]-Entretenimento3999[[#This Row],[Custo Real]]</f>
        <v>0</v>
      </c>
    </row>
    <row r="18" spans="1:9" x14ac:dyDescent="0.2">
      <c r="A18" t="s">
        <v>10</v>
      </c>
      <c r="B18" s="11">
        <v>10</v>
      </c>
      <c r="C18" s="11">
        <v>10</v>
      </c>
      <c r="D18" s="11">
        <f>Moradia3898[[#This Row],[Custo previsto]]-Moradia3898[[#This Row],[Custo Real]]</f>
        <v>0</v>
      </c>
      <c r="F18" t="s">
        <v>13</v>
      </c>
      <c r="G18" s="11"/>
      <c r="H18" s="11"/>
      <c r="I18" s="11">
        <f>Entretenimento3999[[#This Row],[Custo previsto]]-Entretenimento3999[[#This Row],[Custo Real]]</f>
        <v>0</v>
      </c>
    </row>
    <row r="19" spans="1:9" x14ac:dyDescent="0.2">
      <c r="A19" t="s">
        <v>11</v>
      </c>
      <c r="B19" s="11">
        <v>23</v>
      </c>
      <c r="C19" s="11">
        <v>0</v>
      </c>
      <c r="D19" s="11">
        <f>Moradia3898[[#This Row],[Custo previsto]]-Moradia3898[[#This Row],[Custo Real]]</f>
        <v>23</v>
      </c>
      <c r="F19" t="s">
        <v>13</v>
      </c>
      <c r="G19" s="11"/>
      <c r="H19" s="11"/>
      <c r="I19" s="11">
        <f>Entretenimento3999[[#This Row],[Custo previsto]]-Entretenimento3999[[#This Row],[Custo Real]]</f>
        <v>0</v>
      </c>
    </row>
    <row r="20" spans="1:9" x14ac:dyDescent="0.2">
      <c r="A20" t="s">
        <v>12</v>
      </c>
      <c r="B20" s="11">
        <v>0</v>
      </c>
      <c r="C20" s="11">
        <v>0</v>
      </c>
      <c r="D20" s="11">
        <f>Moradia3898[[#This Row],[Custo previsto]]-Moradia3898[[#This Row],[Custo Real]]</f>
        <v>0</v>
      </c>
      <c r="F20" t="s">
        <v>13</v>
      </c>
      <c r="G20" s="11"/>
      <c r="H20" s="11"/>
      <c r="I20" s="11">
        <f>Entretenimento3999[[#This Row],[Custo previsto]]-Entretenimento3999[[#This Row],[Custo Real]]</f>
        <v>0</v>
      </c>
    </row>
    <row r="21" spans="1:9" x14ac:dyDescent="0.2">
      <c r="A21" t="s">
        <v>13</v>
      </c>
      <c r="B21" s="11">
        <v>0</v>
      </c>
      <c r="C21" s="11">
        <v>0</v>
      </c>
      <c r="D21" s="11">
        <f>Moradia3898[[#This Row],[Custo previsto]]-Moradia3898[[#This Row],[Custo Real]]</f>
        <v>0</v>
      </c>
      <c r="F21" t="s">
        <v>14</v>
      </c>
      <c r="G21" s="11"/>
      <c r="H21" s="11"/>
      <c r="I21" s="11">
        <f>SUBTOTAL(109,Entretenimento3999[Diferença])</f>
        <v>0</v>
      </c>
    </row>
    <row r="22" spans="1:9" x14ac:dyDescent="0.2">
      <c r="A22" t="s">
        <v>14</v>
      </c>
      <c r="B22" s="11"/>
      <c r="C22" s="11"/>
      <c r="D22" s="11">
        <f>SUBTOTAL(109,Moradia3898[Diferença])</f>
        <v>-41</v>
      </c>
      <c r="F22" s="7"/>
      <c r="G22" s="7"/>
      <c r="H22" s="7"/>
      <c r="I22" s="7"/>
    </row>
    <row r="23" spans="1:9" x14ac:dyDescent="0.2">
      <c r="A23" s="7"/>
      <c r="B23" s="7"/>
      <c r="C23" s="7"/>
      <c r="D23" s="7"/>
      <c r="F23" t="s">
        <v>56</v>
      </c>
      <c r="G23" t="s">
        <v>43</v>
      </c>
      <c r="H23" t="s">
        <v>44</v>
      </c>
      <c r="I23" t="s">
        <v>45</v>
      </c>
    </row>
    <row r="24" spans="1:9" x14ac:dyDescent="0.2">
      <c r="A24" t="s">
        <v>15</v>
      </c>
      <c r="B24" t="s">
        <v>43</v>
      </c>
      <c r="C24" t="s">
        <v>44</v>
      </c>
      <c r="D24" t="s">
        <v>45</v>
      </c>
      <c r="F24" t="s">
        <v>57</v>
      </c>
      <c r="G24" s="11"/>
      <c r="H24" s="11"/>
      <c r="I24" s="11">
        <f>Empréstimos40100[[#This Row],[Custo previsto]]-Empréstimos40100[[#This Row],[Custo Real]]</f>
        <v>0</v>
      </c>
    </row>
    <row r="25" spans="1:9" x14ac:dyDescent="0.2">
      <c r="A25" t="s">
        <v>16</v>
      </c>
      <c r="B25" s="11"/>
      <c r="C25" s="11"/>
      <c r="D25" s="11">
        <f>Transporte41101[[#This Row],[Custo previsto]]-Transporte41101[[#This Row],[Custo Real]]</f>
        <v>0</v>
      </c>
      <c r="F25" t="s">
        <v>58</v>
      </c>
      <c r="G25" s="11"/>
      <c r="H25" s="11"/>
      <c r="I25" s="11">
        <f>Empréstimos40100[[#This Row],[Custo previsto]]-Empréstimos40100[[#This Row],[Custo Real]]</f>
        <v>0</v>
      </c>
    </row>
    <row r="26" spans="1:9" x14ac:dyDescent="0.2">
      <c r="A26" t="s">
        <v>17</v>
      </c>
      <c r="B26" s="11"/>
      <c r="C26" s="11"/>
      <c r="D26" s="11">
        <f>Transporte41101[[#This Row],[Custo previsto]]-Transporte41101[[#This Row],[Custo Real]]</f>
        <v>0</v>
      </c>
      <c r="F26" t="s">
        <v>59</v>
      </c>
      <c r="G26" s="11"/>
      <c r="H26" s="11"/>
      <c r="I26" s="11">
        <f>Empréstimos40100[[#This Row],[Custo previsto]]-Empréstimos40100[[#This Row],[Custo Real]]</f>
        <v>0</v>
      </c>
    </row>
    <row r="27" spans="1:9" x14ac:dyDescent="0.2">
      <c r="A27" t="s">
        <v>18</v>
      </c>
      <c r="B27" s="11"/>
      <c r="C27" s="11"/>
      <c r="D27" s="11">
        <f>Transporte41101[[#This Row],[Custo previsto]]-Transporte41101[[#This Row],[Custo Real]]</f>
        <v>0</v>
      </c>
      <c r="F27" t="s">
        <v>59</v>
      </c>
      <c r="G27" s="11"/>
      <c r="H27" s="11"/>
      <c r="I27" s="11">
        <f>Empréstimos40100[[#This Row],[Custo previsto]]-Empréstimos40100[[#This Row],[Custo Real]]</f>
        <v>0</v>
      </c>
    </row>
    <row r="28" spans="1:9" x14ac:dyDescent="0.2">
      <c r="A28" t="s">
        <v>19</v>
      </c>
      <c r="B28" s="11"/>
      <c r="C28" s="11"/>
      <c r="D28" s="11">
        <f>Transporte41101[[#This Row],[Custo previsto]]-Transporte41101[[#This Row],[Custo Real]]</f>
        <v>0</v>
      </c>
      <c r="F28" t="s">
        <v>59</v>
      </c>
      <c r="G28" s="11"/>
      <c r="H28" s="11"/>
      <c r="I28" s="11">
        <f>Empréstimos40100[[#This Row],[Custo previsto]]-Empréstimos40100[[#This Row],[Custo Real]]</f>
        <v>0</v>
      </c>
    </row>
    <row r="29" spans="1:9" x14ac:dyDescent="0.2">
      <c r="A29" t="s">
        <v>20</v>
      </c>
      <c r="B29" s="11"/>
      <c r="C29" s="11"/>
      <c r="D29" s="11">
        <f>Transporte41101[[#This Row],[Custo previsto]]-Transporte41101[[#This Row],[Custo Real]]</f>
        <v>0</v>
      </c>
      <c r="F29" t="s">
        <v>13</v>
      </c>
      <c r="G29" s="11"/>
      <c r="H29" s="11"/>
      <c r="I29" s="11">
        <f>Empréstimos40100[[#This Row],[Custo previsto]]-Empréstimos40100[[#This Row],[Custo Real]]</f>
        <v>0</v>
      </c>
    </row>
    <row r="30" spans="1:9" x14ac:dyDescent="0.2">
      <c r="A30" t="s">
        <v>21</v>
      </c>
      <c r="B30" s="11"/>
      <c r="C30" s="11"/>
      <c r="D30" s="11">
        <f>Transporte41101[[#This Row],[Custo previsto]]-Transporte41101[[#This Row],[Custo Real]]</f>
        <v>0</v>
      </c>
      <c r="F30" t="s">
        <v>14</v>
      </c>
      <c r="G30" s="11"/>
      <c r="H30" s="11"/>
      <c r="I30" s="11">
        <f>SUBTOTAL(109,Empréstimos40100[Diferença])</f>
        <v>0</v>
      </c>
    </row>
    <row r="31" spans="1:9" x14ac:dyDescent="0.2">
      <c r="A31" t="s">
        <v>13</v>
      </c>
      <c r="B31" s="11"/>
      <c r="C31" s="11"/>
      <c r="D31" s="11">
        <f>Transporte41101[[#This Row],[Custo previsto]]-Transporte41101[[#This Row],[Custo Real]]</f>
        <v>0</v>
      </c>
      <c r="F31" s="7"/>
      <c r="G31" s="7"/>
      <c r="H31" s="7"/>
      <c r="I31" s="7"/>
    </row>
    <row r="32" spans="1:9" x14ac:dyDescent="0.2">
      <c r="A32" t="s">
        <v>14</v>
      </c>
      <c r="B32" s="11"/>
      <c r="C32" s="11"/>
      <c r="D32" s="11">
        <f>SUBTOTAL(109,Transporte41101[Diferença])</f>
        <v>0</v>
      </c>
      <c r="F32" t="s">
        <v>60</v>
      </c>
      <c r="G32" t="s">
        <v>43</v>
      </c>
      <c r="H32" t="s">
        <v>44</v>
      </c>
      <c r="I32" t="s">
        <v>45</v>
      </c>
    </row>
    <row r="33" spans="1:9" x14ac:dyDescent="0.2">
      <c r="A33" s="7"/>
      <c r="B33" s="7"/>
      <c r="C33" s="7"/>
      <c r="D33" s="7"/>
      <c r="F33" t="s">
        <v>61</v>
      </c>
      <c r="G33" s="11"/>
      <c r="H33" s="11"/>
      <c r="I33" s="11">
        <f>Impostos43103[[#This Row],[Custo previsto]]-Impostos43103[[#This Row],[Custo Real]]</f>
        <v>0</v>
      </c>
    </row>
    <row r="34" spans="1:9" x14ac:dyDescent="0.2">
      <c r="A34" t="s">
        <v>22</v>
      </c>
      <c r="B34" t="s">
        <v>43</v>
      </c>
      <c r="C34" t="s">
        <v>44</v>
      </c>
      <c r="D34" t="s">
        <v>45</v>
      </c>
      <c r="F34" t="s">
        <v>62</v>
      </c>
      <c r="G34" s="11"/>
      <c r="H34" s="11"/>
      <c r="I34" s="11">
        <f>Impostos43103[[#This Row],[Custo previsto]]-Impostos43103[[#This Row],[Custo Real]]</f>
        <v>0</v>
      </c>
    </row>
    <row r="35" spans="1:9" x14ac:dyDescent="0.2">
      <c r="A35" t="s">
        <v>23</v>
      </c>
      <c r="B35" s="11"/>
      <c r="C35" s="11"/>
      <c r="D35" s="11">
        <f>Seguro42102[[#This Row],[Custo previsto]]-Seguro42102[[#This Row],[Custo Real]]</f>
        <v>0</v>
      </c>
      <c r="F35" t="s">
        <v>63</v>
      </c>
      <c r="G35" s="11"/>
      <c r="H35" s="11"/>
      <c r="I35" s="11">
        <f>Impostos43103[[#This Row],[Custo previsto]]-Impostos43103[[#This Row],[Custo Real]]</f>
        <v>0</v>
      </c>
    </row>
    <row r="36" spans="1:9" x14ac:dyDescent="0.2">
      <c r="A36" t="s">
        <v>24</v>
      </c>
      <c r="B36" s="11"/>
      <c r="C36" s="11"/>
      <c r="D36" s="11">
        <f>Seguro42102[[#This Row],[Custo previsto]]-Seguro42102[[#This Row],[Custo Real]]</f>
        <v>0</v>
      </c>
      <c r="F36" t="s">
        <v>13</v>
      </c>
      <c r="G36" s="11"/>
      <c r="H36" s="11"/>
      <c r="I36" s="11">
        <f>Impostos43103[[#This Row],[Custo previsto]]-Impostos43103[[#This Row],[Custo Real]]</f>
        <v>0</v>
      </c>
    </row>
    <row r="37" spans="1:9" x14ac:dyDescent="0.2">
      <c r="A37" t="s">
        <v>25</v>
      </c>
      <c r="B37" s="11"/>
      <c r="C37" s="11"/>
      <c r="D37" s="11">
        <f>Seguro42102[[#This Row],[Custo previsto]]-Seguro42102[[#This Row],[Custo Real]]</f>
        <v>0</v>
      </c>
      <c r="F37" t="s">
        <v>14</v>
      </c>
      <c r="G37" s="11"/>
      <c r="H37" s="11"/>
      <c r="I37" s="11">
        <f>SUBTOTAL(109,Impostos43103[Diferença])</f>
        <v>0</v>
      </c>
    </row>
    <row r="38" spans="1:9" x14ac:dyDescent="0.2">
      <c r="A38" t="s">
        <v>13</v>
      </c>
      <c r="B38" s="11"/>
      <c r="C38" s="11"/>
      <c r="D38" s="11">
        <f>Seguro42102[[#This Row],[Custo previsto]]-Seguro42102[[#This Row],[Custo Real]]</f>
        <v>0</v>
      </c>
      <c r="F38" s="7"/>
      <c r="G38" s="7"/>
      <c r="H38" s="7"/>
      <c r="I38" s="7"/>
    </row>
    <row r="39" spans="1:9" x14ac:dyDescent="0.2">
      <c r="A39" t="s">
        <v>14</v>
      </c>
      <c r="B39" s="11"/>
      <c r="C39" s="11"/>
      <c r="D39" s="11">
        <f>SUBTOTAL(109,Seguro42102[Diferença])</f>
        <v>0</v>
      </c>
      <c r="F39" t="s">
        <v>64</v>
      </c>
      <c r="G39" t="s">
        <v>43</v>
      </c>
      <c r="H39" t="s">
        <v>44</v>
      </c>
      <c r="I39" t="s">
        <v>45</v>
      </c>
    </row>
    <row r="40" spans="1:9" x14ac:dyDescent="0.2">
      <c r="A40" s="7"/>
      <c r="B40" s="7"/>
      <c r="C40" s="7"/>
      <c r="D40" s="7"/>
      <c r="F40" t="s">
        <v>65</v>
      </c>
      <c r="G40" s="11"/>
      <c r="H40" s="11"/>
      <c r="I40" s="11">
        <f>Poupança44104[[#This Row],[Custo previsto]]-Poupança44104[[#This Row],[Custo Real]]</f>
        <v>0</v>
      </c>
    </row>
    <row r="41" spans="1:9" x14ac:dyDescent="0.2">
      <c r="A41" t="s">
        <v>26</v>
      </c>
      <c r="B41" t="s">
        <v>43</v>
      </c>
      <c r="C41" t="s">
        <v>44</v>
      </c>
      <c r="D41" t="s">
        <v>45</v>
      </c>
      <c r="F41" t="s">
        <v>66</v>
      </c>
      <c r="G41" s="11"/>
      <c r="H41" s="11"/>
      <c r="I41" s="11">
        <f>Poupança44104[[#This Row],[Custo previsto]]-Poupança44104[[#This Row],[Custo Real]]</f>
        <v>0</v>
      </c>
    </row>
    <row r="42" spans="1:9" x14ac:dyDescent="0.2">
      <c r="A42" t="s">
        <v>27</v>
      </c>
      <c r="B42" s="11"/>
      <c r="C42" s="11"/>
      <c r="D42" s="11">
        <f>Alimentação45105[[#This Row],[Custo previsto]]-Alimentação45105[[#This Row],[Custo Real]]</f>
        <v>0</v>
      </c>
      <c r="F42" t="s">
        <v>13</v>
      </c>
      <c r="G42" s="11"/>
      <c r="H42" s="11"/>
      <c r="I42" s="11">
        <f>Poupança44104[[#This Row],[Custo previsto]]-Poupança44104[[#This Row],[Custo Real]]</f>
        <v>0</v>
      </c>
    </row>
    <row r="43" spans="1:9" x14ac:dyDescent="0.2">
      <c r="A43" t="s">
        <v>28</v>
      </c>
      <c r="B43" s="11"/>
      <c r="C43" s="11"/>
      <c r="D43" s="11">
        <f>Alimentação45105[[#This Row],[Custo previsto]]-Alimentação45105[[#This Row],[Custo Real]]</f>
        <v>0</v>
      </c>
      <c r="F43" t="s">
        <v>14</v>
      </c>
      <c r="G43" s="11"/>
      <c r="H43" s="11"/>
      <c r="I43" s="11">
        <f>SUBTOTAL(109,Poupança44104[Diferença])</f>
        <v>0</v>
      </c>
    </row>
    <row r="44" spans="1:9" x14ac:dyDescent="0.2">
      <c r="A44" t="s">
        <v>13</v>
      </c>
      <c r="B44" s="11"/>
      <c r="C44" s="11"/>
      <c r="D44" s="11">
        <f>Alimentação45105[[#This Row],[Custo previsto]]-Alimentação45105[[#This Row],[Custo Real]]</f>
        <v>0</v>
      </c>
      <c r="F44" s="7"/>
      <c r="G44" s="7"/>
      <c r="H44" s="7"/>
      <c r="I44" s="7"/>
    </row>
    <row r="45" spans="1:9" x14ac:dyDescent="0.2">
      <c r="A45" t="s">
        <v>14</v>
      </c>
      <c r="B45" s="11"/>
      <c r="C45" s="11"/>
      <c r="D45" s="11">
        <f>SUBTOTAL(109,Alimentação45105[Diferença])</f>
        <v>0</v>
      </c>
      <c r="F45" t="s">
        <v>67</v>
      </c>
      <c r="G45" t="s">
        <v>43</v>
      </c>
      <c r="H45" t="s">
        <v>44</v>
      </c>
      <c r="I45" t="s">
        <v>45</v>
      </c>
    </row>
    <row r="46" spans="1:9" x14ac:dyDescent="0.2">
      <c r="A46" s="7"/>
      <c r="B46" s="7"/>
      <c r="C46" s="7"/>
      <c r="D46" s="7"/>
      <c r="F46" t="s">
        <v>68</v>
      </c>
      <c r="G46" s="11"/>
      <c r="H46" s="11"/>
      <c r="I46" s="11">
        <f>Presentes46106[[#This Row],[Custo previsto]]-Presentes46106[[#This Row],[Custo Real]]</f>
        <v>0</v>
      </c>
    </row>
    <row r="47" spans="1:9" x14ac:dyDescent="0.2">
      <c r="A47" t="s">
        <v>29</v>
      </c>
      <c r="B47" t="s">
        <v>43</v>
      </c>
      <c r="C47" t="s">
        <v>44</v>
      </c>
      <c r="D47" t="s">
        <v>45</v>
      </c>
      <c r="F47" t="s">
        <v>69</v>
      </c>
      <c r="G47" s="11"/>
      <c r="H47" s="11"/>
      <c r="I47" s="11">
        <f>Presentes46106[[#This Row],[Custo previsto]]-Presentes46106[[#This Row],[Custo Real]]</f>
        <v>0</v>
      </c>
    </row>
    <row r="48" spans="1:9" x14ac:dyDescent="0.2">
      <c r="A48" t="s">
        <v>30</v>
      </c>
      <c r="B48" s="11"/>
      <c r="C48" s="11"/>
      <c r="D48" s="11">
        <f>Animais_de_estimação47107[[#This Row],[Custo previsto]]-Animais_de_estimação47107[[#This Row],[Custo Real]]</f>
        <v>0</v>
      </c>
      <c r="F48" t="s">
        <v>70</v>
      </c>
      <c r="G48" s="11"/>
      <c r="H48" s="11"/>
      <c r="I48" s="11">
        <f>Presentes46106[[#This Row],[Custo previsto]]-Presentes46106[[#This Row],[Custo Real]]</f>
        <v>0</v>
      </c>
    </row>
    <row r="49" spans="1:9" x14ac:dyDescent="0.2">
      <c r="A49" t="s">
        <v>31</v>
      </c>
      <c r="B49" s="11"/>
      <c r="C49" s="11"/>
      <c r="D49" s="11">
        <f>Animais_de_estimação47107[[#This Row],[Custo previsto]]-Animais_de_estimação47107[[#This Row],[Custo Real]]</f>
        <v>0</v>
      </c>
      <c r="F49" t="s">
        <v>14</v>
      </c>
      <c r="G49" s="11"/>
      <c r="H49" s="11"/>
      <c r="I49" s="11">
        <f>SUBTOTAL(109,Presentes46106[Diferença])</f>
        <v>0</v>
      </c>
    </row>
    <row r="50" spans="1:9" x14ac:dyDescent="0.2">
      <c r="A50" t="s">
        <v>32</v>
      </c>
      <c r="B50" s="11"/>
      <c r="C50" s="11"/>
      <c r="D50" s="11">
        <f>Animais_de_estimação47107[[#This Row],[Custo previsto]]-Animais_de_estimação47107[[#This Row],[Custo Real]]</f>
        <v>0</v>
      </c>
      <c r="F50" s="7"/>
      <c r="G50" s="7"/>
      <c r="H50" s="7"/>
      <c r="I50" s="7"/>
    </row>
    <row r="51" spans="1:9" x14ac:dyDescent="0.2">
      <c r="A51" t="s">
        <v>33</v>
      </c>
      <c r="B51" s="11"/>
      <c r="C51" s="11"/>
      <c r="D51" s="11">
        <f>Animais_de_estimação47107[[#This Row],[Custo previsto]]-Animais_de_estimação47107[[#This Row],[Custo Real]]</f>
        <v>0</v>
      </c>
      <c r="F51" t="s">
        <v>71</v>
      </c>
      <c r="G51" t="s">
        <v>43</v>
      </c>
      <c r="H51" t="s">
        <v>44</v>
      </c>
      <c r="I51" t="s">
        <v>45</v>
      </c>
    </row>
    <row r="52" spans="1:9" x14ac:dyDescent="0.2">
      <c r="A52" t="s">
        <v>13</v>
      </c>
      <c r="B52" s="11"/>
      <c r="C52" s="11"/>
      <c r="D52" s="11">
        <f>Animais_de_estimação47107[[#This Row],[Custo previsto]]-Animais_de_estimação47107[[#This Row],[Custo Real]]</f>
        <v>0</v>
      </c>
      <c r="F52" t="s">
        <v>72</v>
      </c>
      <c r="G52" s="11"/>
      <c r="H52" s="11"/>
      <c r="I52" s="11">
        <f>Assessoria_jurídica48108[[#This Row],[Custo previsto]]-Assessoria_jurídica48108[[#This Row],[Custo Real]]</f>
        <v>0</v>
      </c>
    </row>
    <row r="53" spans="1:9" x14ac:dyDescent="0.2">
      <c r="A53" t="s">
        <v>14</v>
      </c>
      <c r="B53" s="11"/>
      <c r="C53" s="11"/>
      <c r="D53" s="11">
        <f>SUBTOTAL(109,Animais_de_estimação47107[Diferença])</f>
        <v>0</v>
      </c>
      <c r="F53" t="s">
        <v>73</v>
      </c>
      <c r="G53" s="11"/>
      <c r="H53" s="11"/>
      <c r="I53" s="11">
        <f>Assessoria_jurídica48108[[#This Row],[Custo previsto]]-Assessoria_jurídica48108[[#This Row],[Custo Real]]</f>
        <v>0</v>
      </c>
    </row>
    <row r="54" spans="1:9" x14ac:dyDescent="0.2">
      <c r="A54" s="7"/>
      <c r="B54" s="7"/>
      <c r="C54" s="7"/>
      <c r="D54" s="7"/>
      <c r="F54" t="s">
        <v>74</v>
      </c>
      <c r="G54" s="11"/>
      <c r="H54" s="11"/>
      <c r="I54" s="11">
        <f>Assessoria_jurídica48108[[#This Row],[Custo previsto]]-Assessoria_jurídica48108[[#This Row],[Custo Real]]</f>
        <v>0</v>
      </c>
    </row>
    <row r="55" spans="1:9" x14ac:dyDescent="0.2">
      <c r="A55" t="s">
        <v>34</v>
      </c>
      <c r="B55" t="s">
        <v>43</v>
      </c>
      <c r="C55" t="s">
        <v>44</v>
      </c>
      <c r="D55" t="s">
        <v>45</v>
      </c>
      <c r="F55" t="s">
        <v>13</v>
      </c>
      <c r="G55" s="11"/>
      <c r="H55" s="11"/>
      <c r="I55" s="11">
        <f>Assessoria_jurídica48108[[#This Row],[Custo previsto]]-Assessoria_jurídica48108[[#This Row],[Custo Real]]</f>
        <v>0</v>
      </c>
    </row>
    <row r="56" spans="1:9" x14ac:dyDescent="0.2">
      <c r="A56" t="s">
        <v>31</v>
      </c>
      <c r="B56" s="11"/>
      <c r="C56" s="11"/>
      <c r="D56" s="11">
        <f>CuidadosPessoais49109[[#This Row],[Custo previsto]]-CuidadosPessoais49109[[#This Row],[Custo Real]]</f>
        <v>0</v>
      </c>
      <c r="F56" t="s">
        <v>14</v>
      </c>
      <c r="G56" s="11"/>
      <c r="H56" s="11"/>
      <c r="I56" s="11">
        <f>SUBTOTAL(109,Assessoria_jurídica48108[Diferença])</f>
        <v>0</v>
      </c>
    </row>
    <row r="57" spans="1:9" x14ac:dyDescent="0.2">
      <c r="A57" t="s">
        <v>35</v>
      </c>
      <c r="B57" s="11"/>
      <c r="C57" s="11"/>
      <c r="D57" s="11">
        <f>CuidadosPessoais49109[[#This Row],[Custo previsto]]-CuidadosPessoais49109[[#This Row],[Custo Real]]</f>
        <v>0</v>
      </c>
      <c r="F57" s="7"/>
      <c r="G57" s="7"/>
      <c r="H57" s="7"/>
      <c r="I57" s="7"/>
    </row>
    <row r="58" spans="1:9" x14ac:dyDescent="0.2">
      <c r="A58" t="s">
        <v>36</v>
      </c>
      <c r="B58" s="11"/>
      <c r="C58" s="11"/>
      <c r="D58" s="11">
        <f>CuidadosPessoais49109[[#This Row],[Custo previsto]]-CuidadosPessoais49109[[#This Row],[Custo Real]]</f>
        <v>0</v>
      </c>
      <c r="F58" s="20" t="s">
        <v>75</v>
      </c>
      <c r="G58" s="20"/>
      <c r="H58" s="20"/>
      <c r="I58" s="19">
        <f>SUBTOTAL(109,Moradia3898[Custo previsto],Transporte41101[Custo previsto],Seguro42102[Custo previsto],Alimentação45105[Custo previsto],Animais_de_estimação47107[Custo previsto],CuidadosPessoais49109[Custo previsto],Entretenimento3999[Custo previsto],Empréstimos40100[Custo previsto],Impostos43103[Custo previsto],Poupança44104[Custo previsto],Presentes46106[Custo previsto],Assessoria_jurídica48108[Custo previsto])</f>
        <v>1195</v>
      </c>
    </row>
    <row r="59" spans="1:9" x14ac:dyDescent="0.2">
      <c r="A59" t="s">
        <v>37</v>
      </c>
      <c r="B59" s="11"/>
      <c r="C59" s="11"/>
      <c r="D59" s="11">
        <f>CuidadosPessoais49109[[#This Row],[Custo previsto]]-CuidadosPessoais49109[[#This Row],[Custo Real]]</f>
        <v>0</v>
      </c>
      <c r="F59" s="20"/>
      <c r="G59" s="20"/>
      <c r="H59" s="20"/>
      <c r="I59" s="19"/>
    </row>
    <row r="60" spans="1:9" x14ac:dyDescent="0.2">
      <c r="A60" t="s">
        <v>38</v>
      </c>
      <c r="B60" s="11"/>
      <c r="C60" s="11"/>
      <c r="D60" s="11">
        <f>CuidadosPessoais49109[[#This Row],[Custo previsto]]-CuidadosPessoais49109[[#This Row],[Custo Real]]</f>
        <v>0</v>
      </c>
      <c r="F60" s="20" t="s">
        <v>76</v>
      </c>
      <c r="G60" s="20"/>
      <c r="H60" s="20"/>
      <c r="I60" s="19">
        <f>SUBTOTAL(109,Moradia3898[Custo Real],Transporte41101[Custo Real],Seguro42102[Custo Real],Alimentação45105[Custo Real],Animais_de_estimação47107[Custo Real],CuidadosPessoais49109[Custo Real],Entretenimento3999[Custo Real],Empréstimos40100[Custo Real],Impostos43103[Custo Real],Poupança44104[Custo Real],Presentes46106[Custo Real],Assessoria_jurídica48108[Custo Real])</f>
        <v>1236</v>
      </c>
    </row>
    <row r="61" spans="1:9" x14ac:dyDescent="0.2">
      <c r="A61" t="s">
        <v>39</v>
      </c>
      <c r="B61" s="11"/>
      <c r="C61" s="11"/>
      <c r="D61" s="11">
        <f>CuidadosPessoais49109[[#This Row],[Custo previsto]]-CuidadosPessoais49109[[#This Row],[Custo Real]]</f>
        <v>0</v>
      </c>
      <c r="F61" s="20"/>
      <c r="G61" s="20"/>
      <c r="H61" s="20"/>
      <c r="I61" s="19"/>
    </row>
    <row r="62" spans="1:9" x14ac:dyDescent="0.2">
      <c r="A62" t="s">
        <v>13</v>
      </c>
      <c r="B62" s="11"/>
      <c r="C62" s="11"/>
      <c r="D62" s="11">
        <f>CuidadosPessoais49109[[#This Row],[Custo previsto]]-CuidadosPessoais49109[[#This Row],[Custo Real]]</f>
        <v>0</v>
      </c>
      <c r="F62" s="20" t="s">
        <v>77</v>
      </c>
      <c r="G62" s="20"/>
      <c r="H62" s="20"/>
      <c r="I62" s="19">
        <f>I58-I60</f>
        <v>-41</v>
      </c>
    </row>
    <row r="63" spans="1:9" x14ac:dyDescent="0.2">
      <c r="A63" t="s">
        <v>14</v>
      </c>
      <c r="B63" s="11"/>
      <c r="C63" s="11"/>
      <c r="D63" s="11">
        <f>SUBTOTAL(109,CuidadosPessoais49109[Diferença])</f>
        <v>0</v>
      </c>
      <c r="F63" s="20"/>
      <c r="G63" s="20"/>
      <c r="H63" s="20"/>
      <c r="I63" s="19"/>
    </row>
    <row r="64" spans="1:9" x14ac:dyDescent="0.2">
      <c r="A64" s="7"/>
      <c r="B64" s="7"/>
      <c r="C64" s="7"/>
      <c r="D64" s="7"/>
    </row>
  </sheetData>
  <mergeCells count="21">
    <mergeCell ref="F58:H59"/>
    <mergeCell ref="I58:I59"/>
    <mergeCell ref="F60:H61"/>
    <mergeCell ref="I60:I61"/>
    <mergeCell ref="F62:H63"/>
    <mergeCell ref="I62:I63"/>
    <mergeCell ref="A7:A9"/>
    <mergeCell ref="B7:C7"/>
    <mergeCell ref="F7:H8"/>
    <mergeCell ref="I7:I8"/>
    <mergeCell ref="B8:C8"/>
    <mergeCell ref="B9:C9"/>
    <mergeCell ref="A1:I1"/>
    <mergeCell ref="A3:A5"/>
    <mergeCell ref="B3:C3"/>
    <mergeCell ref="F3:H4"/>
    <mergeCell ref="I3:I4"/>
    <mergeCell ref="B4:C4"/>
    <mergeCell ref="B5:C5"/>
    <mergeCell ref="F5:H6"/>
    <mergeCell ref="I5:I6"/>
  </mergeCells>
  <conditionalFormatting sqref="I7:I8">
    <cfRule type="cellIs" dxfId="11" priority="2" operator="lessThan">
      <formula>0</formula>
    </cfRule>
  </conditionalFormatting>
  <conditionalFormatting sqref="I62:I63">
    <cfRule type="cellIs" dxfId="10" priority="1" operator="lessThan">
      <formula>0</formula>
    </cfRule>
  </conditionalFormatting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1AA56-93FF-42F2-9B83-858AC84E66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C97F38-AC51-4DF5-A8A1-C688B0C06A9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A58CDC10-ABEC-4481-B96A-4E286E4D6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TM04101071</Templat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14</vt:i4>
      </vt:variant>
    </vt:vector>
  </HeadingPairs>
  <TitlesOfParts>
    <vt:vector size="14" baseType="lpstr">
      <vt:lpstr>Comece por aqui</vt:lpstr>
      <vt:lpstr>ORÇAMENTO DEZEMBRO 2024</vt:lpstr>
      <vt:lpstr>ORÇAMENTO JANEIRO 2025</vt:lpstr>
      <vt:lpstr>ORÇAMENTO FEVEREIRO 2025</vt:lpstr>
      <vt:lpstr>ORÇAMENTO MARÇO 2025</vt:lpstr>
      <vt:lpstr>ORÇAMENTO ABRIL 2025</vt:lpstr>
      <vt:lpstr>ORÇAMENTO MAIO 2025</vt:lpstr>
      <vt:lpstr>ORÇAMENTO JUNHO 2025</vt:lpstr>
      <vt:lpstr>ORÇAMENTO JULHO 2025</vt:lpstr>
      <vt:lpstr>ORÇAMENTO AGOSTO 2025</vt:lpstr>
      <vt:lpstr>ORÇAMENTO SETEMBRO 2025</vt:lpstr>
      <vt:lpstr>ORÇAMENTO OUTUBRO 2025</vt:lpstr>
      <vt:lpstr>ORÇAMENTO NOVEMBRO 2025</vt:lpstr>
      <vt:lpstr>ORÇAMENTO DEZEMBRO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2022-11-06T05:44:32Z</dcterms:created>
  <dcterms:modified xsi:type="dcterms:W3CDTF">2024-10-27T15:59:51Z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